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 UNIDAD D\Daniel\DGE\DATOS\ESTADÍSTICAS\Fuente DGE\Prefinales 2020\"/>
    </mc:Choice>
  </mc:AlternateContent>
  <bookViews>
    <workbookView xWindow="0" yWindow="0" windowWidth="20490" windowHeight="7755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52511"/>
</workbook>
</file>

<file path=xl/calcChain.xml><?xml version="1.0" encoding="utf-8"?>
<calcChain xmlns="http://schemas.openxmlformats.org/spreadsheetml/2006/main">
  <c r="I57" i="1" l="1"/>
  <c r="F57" i="1"/>
  <c r="H57" i="1" l="1"/>
  <c r="E57" i="1"/>
  <c r="F58" i="6" l="1"/>
  <c r="F12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31" i="2"/>
  <c r="G28" i="2"/>
  <c r="D28" i="2" l="1"/>
  <c r="D33" i="2"/>
  <c r="D32" i="2"/>
  <c r="D31" i="2" s="1"/>
  <c r="H28" i="2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25" i="1"/>
  <c r="G29" i="1"/>
  <c r="F32" i="1"/>
  <c r="E30" i="2" s="1"/>
  <c r="D17" i="1" l="1"/>
  <c r="G12" i="1"/>
  <c r="G13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<sst xmlns="http://schemas.openxmlformats.org/spreadsheetml/2006/main" count="308" uniqueCount="132">
  <si>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</si>
  <si>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</si>
  <si>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</si>
  <si>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</si>
  <si>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</si>
  <si>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</si>
  <si>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</si>
  <si>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</si>
  <si>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</si>
  <si>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</si>
  <si>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</si>
  <si>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</si>
  <si>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</si>
  <si>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</si>
  <si>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</si>
  <si>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</si>
  <si>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</si>
  <si>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</si>
  <si>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</si>
  <si>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</si>
  <si>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</si>
  <si>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</si>
  <si>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</si>
  <si>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</si>
  <si>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</si>
  <si>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</si>
  <si>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</si>
  <si>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</si>
  <si>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</si>
  <si>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</si>
  <si>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</si>
  <si>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</si>
  <si>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</si>
  <si>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</si>
  <si>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</si>
  <si>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</si>
  <si>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</si>
  <si>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</si>
  <si>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</si>
  <si>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</si>
  <si>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</si>
  <si>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</si>
  <si>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</si>
  <si>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</si>
  <si>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</si>
  <si>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</si>
  <si>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</si>
  <si>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</si>
  <si>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</si>
  <si>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</si>
  <si>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</si>
  <si>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</si>
  <si>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</si>
  <si>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</si>
  <si>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</si>
  <si>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</si>
  <si>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</si>
  <si>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</si>
  <si>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</si>
  <si>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</si>
  <si>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</si>
  <si>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</si>
  <si>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</si>
  <si>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</si>
  <si>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</si>
  <si>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</si>
  <si>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</si>
  <si>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</si>
  <si>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</si>
  <si>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</si>
  <si>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</si>
  <si>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</si>
  <si>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</si>
  <si>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</si>
  <si>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</si>
  <si>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</si>
  <si>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</si>
  <si>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</si>
  <si>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</si>
  <si>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</si>
  <si>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</si>
  <si>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</si>
  <si>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</si>
  <si>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</si>
  <si>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</si>
  <si>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</si>
  <si>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</si>
  <si>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</si>
  <si>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</si>
  <si>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</si>
  <si>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</si>
  <si>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</si>
  <si>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</si>
  <si>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</si>
  <si>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</si>
  <si>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</si>
  <si>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</si>
  <si>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</si>
  <si>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</si>
  <si>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</si>
  <si>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</si>
  <si>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</si>
  <si>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</si>
  <si>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</si>
  <si>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</si>
  <si>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</si>
  <si>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</si>
  <si>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</si>
  <si>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</si>
  <si>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</si>
  <si>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</si>
  <si>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</si>
  <si>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</si>
  <si>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</si>
  <si>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</si>
  <si>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Cuadro N° 2 : Producción de energía eléctrica nacional según sistema y mercado 2020 vs 2019</t>
  </si>
  <si>
    <t>Cuadro N° 3 : Producción de energía eléctrica nacional según  mercado 2020 vs 2019</t>
  </si>
  <si>
    <t>Cuadro N° 5: Producción de energía eléctrica nacional por tipo de recurso energético 2020 vs 2019</t>
  </si>
  <si>
    <t>Cuadro N° 6: Producción de energía eléctrica con Recurso Convencional y No Convencional 2020 vs 2019</t>
  </si>
  <si>
    <t>Cuadro N° 7: Producción de energía eléctrica según tipo de participación en el Mercado Eléctrico 2020 vs 2019</t>
  </si>
  <si>
    <t>3.1 Producción de energía eléctrica (GWh) nacional según zona 2020 vs 2019</t>
  </si>
  <si>
    <t>Cuadro N° 4 : Producción de energía eléctrica nacional según destino y recurso 2020 vs 2019</t>
  </si>
  <si>
    <t>Feb-19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</si>
  <si>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(1)</t>
    </r>
  </si>
  <si>
    <t>1. RESUMEN NACIONAL AL MES DE MAYO 2020</t>
  </si>
  <si>
    <t>Mayo</t>
  </si>
  <si>
    <t>Enero - Mayo</t>
  </si>
  <si>
    <t>Grafico N° 11: Generación de energía eléctrica por Región, al mes de mayo 2020</t>
  </si>
  <si>
    <t>Cuadro N° 8: Producción de energía eléctrica nacional por zona del país, al mes de mayo</t>
  </si>
  <si>
    <t>3.2 Producción de energía eléctrica (GWh) por origen y zona al mes de mayo 2020</t>
  </si>
  <si>
    <t>Mayo 2020</t>
  </si>
  <si>
    <t>(1): Incluye información de Recursos Renovables No Convencionales de Aislados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</si>
</sst>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 * #,##0.00_ ;_ * \-#,##0.00_ ;_ * &quot;-&quot;??_ ;_ @_ "/>
    <numFmt numFmtId="164" formatCode="_-* #,##0.00_-;\-* #,##0.00_-;_-* &quot;-&quot;??_-;_-@_-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_ * #,##0.0_ ;_ * \-#,##0.0_ ;_ * &quot;-&quot;??_ ;_ @_ 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10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8" xfId="0" applyFill="1" applyBorder="1"/>
    <xf numFmtId="0" fontId="0" fillId="0" borderId="18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2" xfId="0" applyFont="1" applyBorder="1"/>
    <xf numFmtId="0" fontId="0" fillId="0" borderId="22" xfId="0" applyFont="1" applyFill="1" applyBorder="1"/>
    <xf numFmtId="1" fontId="0" fillId="0" borderId="22" xfId="0" applyNumberFormat="1" applyFont="1" applyFill="1" applyBorder="1"/>
    <xf numFmtId="1" fontId="0" fillId="0" borderId="22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0" xfId="33743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4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2" xfId="0" applyNumberFormat="1" applyFont="1" applyFill="1" applyBorder="1" applyAlignment="1">
      <alignment horizontal="center" vertical="center"/>
    </xf>
    <xf numFmtId="3" fontId="95" fillId="70" borderId="66" xfId="0" applyNumberFormat="1" applyFont="1" applyFill="1" applyBorder="1" applyAlignment="1">
      <alignment horizontal="center" vertical="center"/>
    </xf>
    <xf numFmtId="178" fontId="98" fillId="70" borderId="29" xfId="33743" applyNumberFormat="1" applyFont="1" applyFill="1" applyBorder="1" applyAlignment="1">
      <alignment horizontal="center" vertical="center"/>
    </xf>
    <xf numFmtId="178" fontId="98" fillId="70" borderId="63" xfId="33743" applyNumberFormat="1" applyFont="1" applyFill="1" applyBorder="1" applyAlignment="1">
      <alignment horizontal="center" vertical="center"/>
    </xf>
    <xf numFmtId="178" fontId="98" fillId="70" borderId="67" xfId="33743" applyNumberFormat="1" applyFont="1" applyFill="1" applyBorder="1" applyAlignment="1">
      <alignment horizontal="center" vertical="center"/>
    </xf>
    <xf numFmtId="10" fontId="95" fillId="70" borderId="64" xfId="33743" applyNumberFormat="1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28" xfId="0" applyFont="1" applyFill="1" applyBorder="1" applyAlignment="1">
      <alignment horizontal="center"/>
    </xf>
    <xf numFmtId="3" fontId="95" fillId="70" borderId="34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3" xfId="0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8" fillId="70" borderId="18" xfId="0" applyFont="1" applyFill="1" applyBorder="1" applyAlignment="1">
      <alignment horizontal="center" wrapText="1"/>
    </xf>
    <xf numFmtId="178" fontId="98" fillId="70" borderId="50" xfId="33743" applyNumberFormat="1" applyFont="1" applyFill="1" applyBorder="1"/>
    <xf numFmtId="0" fontId="99" fillId="0" borderId="16" xfId="0" applyFont="1" applyBorder="1"/>
    <xf numFmtId="0" fontId="99" fillId="0" borderId="68" xfId="0" applyFont="1" applyBorder="1"/>
    <xf numFmtId="0" fontId="99" fillId="0" borderId="68" xfId="0" applyNumberFormat="1" applyFont="1" applyBorder="1" applyAlignment="1">
      <alignment vertical="center"/>
    </xf>
    <xf numFmtId="0" fontId="99" fillId="0" borderId="69" xfId="0" applyFont="1" applyBorder="1"/>
    <xf numFmtId="164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8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0" xfId="0" applyFont="1" applyFill="1" applyBorder="1" applyAlignment="1">
      <alignment horizontal="center"/>
    </xf>
    <xf numFmtId="0" fontId="0" fillId="69" borderId="47" xfId="0" applyFont="1" applyFill="1" applyBorder="1" applyAlignment="1">
      <alignment horizontal="center"/>
    </xf>
    <xf numFmtId="178" fontId="96" fillId="69" borderId="21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0" xfId="0" applyFont="1" applyFill="1" applyBorder="1"/>
    <xf numFmtId="0" fontId="0" fillId="68" borderId="37" xfId="0" applyFont="1" applyFill="1" applyBorder="1"/>
    <xf numFmtId="0" fontId="0" fillId="68" borderId="28" xfId="0" applyFont="1" applyFill="1" applyBorder="1"/>
    <xf numFmtId="0" fontId="0" fillId="68" borderId="40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0" xfId="0" applyNumberFormat="1" applyFont="1" applyFill="1" applyBorder="1"/>
    <xf numFmtId="3" fontId="0" fillId="68" borderId="37" xfId="0" applyNumberFormat="1" applyFont="1" applyFill="1" applyBorder="1"/>
    <xf numFmtId="3" fontId="0" fillId="68" borderId="28" xfId="0" applyNumberFormat="1" applyFont="1" applyFill="1" applyBorder="1"/>
    <xf numFmtId="4" fontId="0" fillId="68" borderId="37" xfId="0" applyNumberFormat="1" applyFont="1" applyFill="1" applyBorder="1"/>
    <xf numFmtId="0" fontId="0" fillId="68" borderId="25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4" fontId="0" fillId="68" borderId="36" xfId="0" applyNumberFormat="1" applyFont="1" applyFill="1" applyBorder="1"/>
    <xf numFmtId="3" fontId="0" fillId="68" borderId="27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46" xfId="0" applyFill="1" applyBorder="1"/>
    <xf numFmtId="0" fontId="104" fillId="68" borderId="29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4" xfId="0" applyFill="1" applyBorder="1"/>
    <xf numFmtId="0" fontId="92" fillId="68" borderId="28" xfId="0" applyFont="1" applyFill="1" applyBorder="1" applyAlignment="1">
      <alignment horizontal="center"/>
    </xf>
    <xf numFmtId="0" fontId="104" fillId="68" borderId="24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28" xfId="0" applyNumberFormat="1" applyFill="1" applyBorder="1"/>
    <xf numFmtId="9" fontId="96" fillId="68" borderId="30" xfId="33743" applyFont="1" applyFill="1" applyBorder="1" applyAlignment="1">
      <alignment horizontal="center"/>
    </xf>
    <xf numFmtId="0" fontId="0" fillId="68" borderId="25" xfId="0" applyFill="1" applyBorder="1" applyAlignment="1">
      <alignment horizontal="left" indent="5"/>
    </xf>
    <xf numFmtId="3" fontId="0" fillId="68" borderId="27" xfId="0" applyNumberFormat="1" applyFill="1" applyBorder="1"/>
    <xf numFmtId="9" fontId="96" fillId="68" borderId="32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1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55" xfId="0" applyNumberFormat="1" applyFont="1" applyFill="1" applyBorder="1" applyAlignment="1">
      <alignment vertical="center"/>
    </xf>
    <xf numFmtId="9" fontId="96" fillId="68" borderId="23" xfId="33743" applyNumberFormat="1" applyFont="1" applyFill="1" applyBorder="1" applyAlignment="1">
      <alignment horizontal="center" vertical="center"/>
    </xf>
    <xf numFmtId="0" fontId="0" fillId="68" borderId="44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56" xfId="0" applyNumberFormat="1" applyFont="1" applyFill="1" applyBorder="1" applyAlignment="1">
      <alignment vertical="center"/>
    </xf>
    <xf numFmtId="9" fontId="96" fillId="68" borderId="30" xfId="33743" applyNumberFormat="1" applyFont="1" applyFill="1" applyBorder="1" applyAlignment="1">
      <alignment horizontal="center" vertical="center"/>
    </xf>
    <xf numFmtId="0" fontId="0" fillId="68" borderId="43" xfId="0" applyFont="1" applyFill="1" applyBorder="1" applyAlignment="1">
      <alignment vertical="center"/>
    </xf>
    <xf numFmtId="4" fontId="0" fillId="68" borderId="25" xfId="0" applyNumberFormat="1" applyFont="1" applyFill="1" applyBorder="1" applyAlignment="1">
      <alignment vertical="center"/>
    </xf>
    <xf numFmtId="4" fontId="0" fillId="68" borderId="58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3" xfId="0" applyFont="1" applyFill="1" applyBorder="1" applyAlignment="1">
      <alignment horizontal="center" wrapText="1"/>
    </xf>
    <xf numFmtId="0" fontId="3" fillId="71" borderId="35" xfId="0" applyFont="1" applyFill="1" applyBorder="1" applyAlignment="1">
      <alignment horizontal="center" wrapText="1"/>
    </xf>
    <xf numFmtId="0" fontId="3" fillId="71" borderId="26" xfId="0" applyFont="1" applyFill="1" applyBorder="1" applyAlignment="1">
      <alignment horizontal="center" vertical="center"/>
    </xf>
    <xf numFmtId="9" fontId="96" fillId="71" borderId="38" xfId="33743" applyFont="1" applyFill="1" applyBorder="1" applyAlignment="1">
      <alignment horizontal="center" vertical="center"/>
    </xf>
    <xf numFmtId="0" fontId="3" fillId="71" borderId="25" xfId="0" applyFont="1" applyFill="1" applyBorder="1" applyAlignment="1">
      <alignment horizontal="left" indent="2"/>
    </xf>
    <xf numFmtId="0" fontId="0" fillId="71" borderId="32" xfId="0" applyFont="1" applyFill="1" applyBorder="1"/>
    <xf numFmtId="0" fontId="0" fillId="71" borderId="36" xfId="0" applyFont="1" applyFill="1" applyBorder="1"/>
    <xf numFmtId="0" fontId="0" fillId="71" borderId="27" xfId="0" applyFont="1" applyFill="1" applyBorder="1"/>
    <xf numFmtId="0" fontId="0" fillId="71" borderId="39" xfId="0" applyFont="1" applyFill="1" applyBorder="1"/>
    <xf numFmtId="3" fontId="0" fillId="71" borderId="33" xfId="0" applyNumberFormat="1" applyFill="1" applyBorder="1"/>
    <xf numFmtId="178" fontId="96" fillId="71" borderId="31" xfId="33743" applyNumberFormat="1" applyFont="1" applyFill="1" applyBorder="1" applyAlignment="1">
      <alignment horizontal="center"/>
    </xf>
    <xf numFmtId="3" fontId="0" fillId="71" borderId="34" xfId="0" applyNumberFormat="1" applyFont="1" applyFill="1" applyBorder="1"/>
    <xf numFmtId="178" fontId="96" fillId="71" borderId="21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6" xfId="33743" applyNumberFormat="1" applyFont="1" applyFill="1" applyBorder="1"/>
    <xf numFmtId="3" fontId="93" fillId="68" borderId="55" xfId="0" applyNumberFormat="1" applyFont="1" applyFill="1" applyBorder="1"/>
    <xf numFmtId="9" fontId="76" fillId="68" borderId="23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56" xfId="0" applyNumberFormat="1" applyFont="1" applyFill="1" applyBorder="1"/>
    <xf numFmtId="9" fontId="76" fillId="68" borderId="30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0" xfId="33743" applyNumberFormat="1" applyFont="1" applyFill="1" applyBorder="1"/>
    <xf numFmtId="3" fontId="93" fillId="68" borderId="71" xfId="0" applyNumberFormat="1" applyFont="1" applyFill="1" applyBorder="1"/>
    <xf numFmtId="9" fontId="76" fillId="68" borderId="24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8" xfId="0" applyFont="1" applyFill="1" applyBorder="1" applyAlignment="1">
      <alignment horizontal="center"/>
    </xf>
    <xf numFmtId="3" fontId="95" fillId="69" borderId="34" xfId="0" applyNumberFormat="1" applyFont="1" applyFill="1" applyBorder="1"/>
    <xf numFmtId="3" fontId="95" fillId="69" borderId="57" xfId="0" applyNumberFormat="1" applyFont="1" applyFill="1" applyBorder="1"/>
    <xf numFmtId="178" fontId="98" fillId="69" borderId="53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4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4" xfId="33744" applyNumberFormat="1" applyFont="1" applyFill="1" applyBorder="1"/>
    <xf numFmtId="180" fontId="95" fillId="70" borderId="50" xfId="33744" applyNumberFormat="1" applyFont="1" applyFill="1" applyBorder="1"/>
    <xf numFmtId="3" fontId="99" fillId="0" borderId="26" xfId="0" applyNumberFormat="1" applyFont="1" applyBorder="1"/>
    <xf numFmtId="3" fontId="99" fillId="0" borderId="73" xfId="0" applyNumberFormat="1" applyFont="1" applyBorder="1"/>
    <xf numFmtId="9" fontId="76" fillId="0" borderId="16" xfId="33743" applyFont="1" applyBorder="1"/>
    <xf numFmtId="9" fontId="76" fillId="0" borderId="68" xfId="33743" applyFont="1" applyBorder="1"/>
    <xf numFmtId="9" fontId="76" fillId="0" borderId="69" xfId="33743" applyFont="1" applyBorder="1"/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4" xfId="0" applyNumberFormat="1" applyFont="1" applyFill="1" applyBorder="1"/>
    <xf numFmtId="0" fontId="92" fillId="69" borderId="75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77" xfId="0" applyFont="1" applyFill="1" applyBorder="1" applyAlignment="1">
      <alignment horizontal="center"/>
    </xf>
    <xf numFmtId="3" fontId="0" fillId="71" borderId="78" xfId="0" applyNumberFormat="1" applyFill="1" applyBorder="1"/>
    <xf numFmtId="3" fontId="0" fillId="68" borderId="77" xfId="0" applyNumberFormat="1" applyFill="1" applyBorder="1"/>
    <xf numFmtId="3" fontId="0" fillId="68" borderId="79" xfId="0" applyNumberFormat="1" applyFill="1" applyBorder="1"/>
    <xf numFmtId="3" fontId="0" fillId="71" borderId="80" xfId="0" applyNumberFormat="1" applyFont="1" applyFill="1" applyBorder="1"/>
    <xf numFmtId="0" fontId="92" fillId="0" borderId="77" xfId="0" applyFont="1" applyBorder="1" applyAlignment="1">
      <alignment horizontal="center"/>
    </xf>
    <xf numFmtId="0" fontId="92" fillId="69" borderId="77" xfId="0" applyFont="1" applyFill="1" applyBorder="1" applyAlignment="1">
      <alignment horizontal="center"/>
    </xf>
    <xf numFmtId="3" fontId="99" fillId="0" borderId="81" xfId="0" applyNumberFormat="1" applyFont="1" applyBorder="1"/>
    <xf numFmtId="3" fontId="99" fillId="0" borderId="82" xfId="0" applyNumberFormat="1" applyFont="1" applyBorder="1"/>
    <xf numFmtId="3" fontId="99" fillId="0" borderId="83" xfId="0" applyNumberFormat="1" applyFont="1" applyBorder="1"/>
    <xf numFmtId="3" fontId="95" fillId="70" borderId="80" xfId="0" applyNumberFormat="1" applyFont="1" applyFill="1" applyBorder="1"/>
    <xf numFmtId="178" fontId="98" fillId="70" borderId="84" xfId="33743" applyNumberFormat="1" applyFont="1" applyFill="1" applyBorder="1"/>
    <xf numFmtId="0" fontId="0" fillId="71" borderId="85" xfId="0" applyFont="1" applyFill="1" applyBorder="1" applyAlignment="1">
      <alignment horizontal="center"/>
    </xf>
    <xf numFmtId="3" fontId="0" fillId="71" borderId="86" xfId="0" applyNumberFormat="1" applyFont="1" applyFill="1" applyBorder="1"/>
    <xf numFmtId="3" fontId="0" fillId="71" borderId="87" xfId="0" applyNumberFormat="1" applyFont="1" applyFill="1" applyBorder="1"/>
    <xf numFmtId="3" fontId="0" fillId="71" borderId="88" xfId="0" applyNumberFormat="1" applyFont="1" applyFill="1" applyBorder="1"/>
    <xf numFmtId="0" fontId="0" fillId="71" borderId="89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0" xfId="0" applyNumberFormat="1" applyFont="1" applyFill="1" applyBorder="1"/>
    <xf numFmtId="0" fontId="0" fillId="71" borderId="91" xfId="0" applyFont="1" applyFill="1" applyBorder="1"/>
    <xf numFmtId="3" fontId="0" fillId="68" borderId="81" xfId="0" applyNumberFormat="1" applyFont="1" applyFill="1" applyBorder="1" applyAlignment="1">
      <alignment vertical="center"/>
    </xf>
    <xf numFmtId="3" fontId="0" fillId="68" borderId="77" xfId="0" applyNumberFormat="1" applyFont="1" applyFill="1" applyBorder="1" applyAlignment="1">
      <alignment vertical="center"/>
    </xf>
    <xf numFmtId="4" fontId="0" fillId="68" borderId="79" xfId="0" applyNumberFormat="1" applyFont="1" applyFill="1" applyBorder="1" applyAlignment="1">
      <alignment vertical="center"/>
    </xf>
    <xf numFmtId="3" fontId="95" fillId="70" borderId="93" xfId="0" applyNumberFormat="1" applyFont="1" applyFill="1" applyBorder="1" applyAlignment="1">
      <alignment horizontal="center" vertical="center"/>
    </xf>
    <xf numFmtId="178" fontId="98" fillId="70" borderId="94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96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97" xfId="0" applyNumberFormat="1" applyFill="1" applyBorder="1"/>
    <xf numFmtId="3" fontId="0" fillId="68" borderId="99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5" xfId="0" applyFill="1" applyBorder="1" applyAlignment="1">
      <alignment horizontal="left" indent="3"/>
    </xf>
    <xf numFmtId="0" fontId="0" fillId="68" borderId="43" xfId="0" applyFill="1" applyBorder="1" applyAlignment="1"/>
    <xf numFmtId="0" fontId="0" fillId="68" borderId="35" xfId="0" applyFill="1" applyBorder="1" applyAlignment="1">
      <alignment horizontal="left" indent="1"/>
    </xf>
    <xf numFmtId="0" fontId="0" fillId="68" borderId="100" xfId="0" applyFill="1" applyBorder="1" applyAlignment="1">
      <alignment horizontal="left" indent="1"/>
    </xf>
    <xf numFmtId="0" fontId="0" fillId="68" borderId="90" xfId="0" applyFill="1" applyBorder="1" applyAlignment="1">
      <alignment horizontal="left" indent="1"/>
    </xf>
    <xf numFmtId="9" fontId="96" fillId="68" borderId="30" xfId="33743" applyNumberFormat="1" applyFont="1" applyFill="1" applyBorder="1" applyAlignment="1">
      <alignment horizontal="center"/>
    </xf>
    <xf numFmtId="9" fontId="96" fillId="68" borderId="98" xfId="33743" applyNumberFormat="1" applyFont="1" applyFill="1" applyBorder="1" applyAlignment="1">
      <alignment horizontal="center"/>
    </xf>
    <xf numFmtId="0" fontId="0" fillId="68" borderId="35" xfId="0" applyFill="1" applyBorder="1" applyAlignment="1">
      <alignment vertical="center" wrapText="1"/>
    </xf>
    <xf numFmtId="0" fontId="0" fillId="68" borderId="100" xfId="0" applyFill="1" applyBorder="1"/>
    <xf numFmtId="0" fontId="0" fillId="68" borderId="37" xfId="0" applyFill="1" applyBorder="1" applyAlignment="1">
      <alignment wrapText="1"/>
    </xf>
    <xf numFmtId="0" fontId="0" fillId="68" borderId="90" xfId="0" applyFill="1" applyBorder="1"/>
    <xf numFmtId="0" fontId="0" fillId="68" borderId="36" xfId="0" applyFill="1" applyBorder="1"/>
    <xf numFmtId="167" fontId="100" fillId="62" borderId="0" xfId="0" applyNumberFormat="1" applyFont="1" applyFill="1" applyBorder="1"/>
    <xf numFmtId="3" fontId="99" fillId="0" borderId="55" xfId="0" applyNumberFormat="1" applyFont="1" applyBorder="1"/>
    <xf numFmtId="3" fontId="99" fillId="0" borderId="102" xfId="0" applyNumberFormat="1" applyFont="1" applyBorder="1"/>
    <xf numFmtId="3" fontId="99" fillId="0" borderId="103" xfId="0" applyNumberFormat="1" applyFont="1" applyBorder="1"/>
    <xf numFmtId="3" fontId="95" fillId="69" borderId="101" xfId="0" applyNumberFormat="1" applyFont="1" applyFill="1" applyBorder="1"/>
    <xf numFmtId="0" fontId="0" fillId="68" borderId="17" xfId="0" applyFont="1" applyFill="1" applyBorder="1" applyAlignment="1">
      <alignment vertical="center" wrapText="1"/>
    </xf>
    <xf numFmtId="3" fontId="0" fillId="68" borderId="60" xfId="0" applyNumberFormat="1" applyFill="1" applyBorder="1" applyAlignment="1">
      <alignment horizontal="center" vertical="center"/>
    </xf>
    <xf numFmtId="3" fontId="0" fillId="68" borderId="65" xfId="0" applyNumberFormat="1" applyFill="1" applyBorder="1" applyAlignment="1">
      <alignment horizontal="center" vertical="center"/>
    </xf>
    <xf numFmtId="9" fontId="35" fillId="68" borderId="23" xfId="33743" applyNumberFormat="1" applyFont="1" applyFill="1" applyBorder="1" applyAlignment="1">
      <alignment horizontal="center" vertical="center"/>
    </xf>
    <xf numFmtId="3" fontId="0" fillId="68" borderId="92" xfId="0" applyNumberFormat="1" applyFill="1" applyBorder="1" applyAlignment="1">
      <alignment horizontal="center" vertical="center"/>
    </xf>
    <xf numFmtId="0" fontId="0" fillId="68" borderId="18" xfId="0" applyFont="1" applyFill="1" applyBorder="1" applyAlignment="1">
      <alignment wrapText="1"/>
    </xf>
    <xf numFmtId="3" fontId="0" fillId="68" borderId="61" xfId="0" applyNumberFormat="1" applyFill="1" applyBorder="1" applyAlignment="1">
      <alignment horizontal="center" vertical="center"/>
    </xf>
    <xf numFmtId="3" fontId="0" fillId="68" borderId="57" xfId="0" applyNumberFormat="1" applyFill="1" applyBorder="1" applyAlignment="1">
      <alignment horizontal="center" vertical="center"/>
    </xf>
    <xf numFmtId="9" fontId="35" fillId="68" borderId="53" xfId="33743" applyNumberFormat="1" applyFont="1" applyFill="1" applyBorder="1" applyAlignment="1">
      <alignment horizontal="center" vertical="center"/>
    </xf>
    <xf numFmtId="3" fontId="0" fillId="68" borderId="80" xfId="0" applyNumberFormat="1" applyFill="1" applyBorder="1" applyAlignment="1">
      <alignment horizontal="center" vertical="center"/>
    </xf>
    <xf numFmtId="9" fontId="35" fillId="68" borderId="21" xfId="33743" applyNumberFormat="1" applyFont="1" applyFill="1" applyBorder="1" applyAlignment="1">
      <alignment horizontal="center" vertical="center"/>
    </xf>
    <xf numFmtId="0" fontId="0" fillId="68" borderId="25" xfId="0" applyFill="1" applyBorder="1" applyAlignment="1">
      <alignment horizontal="left" indent="2"/>
    </xf>
    <xf numFmtId="9" fontId="76" fillId="0" borderId="68" xfId="33743" applyNumberFormat="1" applyFont="1" applyBorder="1"/>
    <xf numFmtId="9" fontId="96" fillId="68" borderId="32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46" xfId="0" applyFont="1" applyFill="1" applyBorder="1" applyAlignment="1">
      <alignment horizontal="center" vertical="center"/>
    </xf>
    <xf numFmtId="0" fontId="3" fillId="70" borderId="44" xfId="0" applyFont="1" applyFill="1" applyBorder="1" applyAlignment="1">
      <alignment horizontal="center" vertical="center"/>
    </xf>
    <xf numFmtId="0" fontId="3" fillId="70" borderId="52" xfId="0" applyFont="1" applyFill="1" applyBorder="1" applyAlignment="1">
      <alignment horizontal="center" vertical="center"/>
    </xf>
    <xf numFmtId="3" fontId="3" fillId="69" borderId="50" xfId="0" applyNumberFormat="1" applyFont="1" applyFill="1" applyBorder="1" applyAlignment="1">
      <alignment vertical="center"/>
    </xf>
    <xf numFmtId="3" fontId="3" fillId="69" borderId="57" xfId="0" applyNumberFormat="1" applyFont="1" applyFill="1" applyBorder="1" applyAlignment="1">
      <alignment vertical="center"/>
    </xf>
    <xf numFmtId="178" fontId="96" fillId="69" borderId="53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 applyAlignment="1">
      <alignment vertical="center"/>
    </xf>
    <xf numFmtId="178" fontId="96" fillId="69" borderId="21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06" xfId="0" applyBorder="1" applyAlignment="1">
      <alignment horizontal="center" vertical="center"/>
    </xf>
    <xf numFmtId="0" fontId="0" fillId="68" borderId="107" xfId="0" applyFill="1" applyBorder="1" applyAlignment="1">
      <alignment wrapText="1"/>
    </xf>
    <xf numFmtId="9" fontId="96" fillId="68" borderId="109" xfId="33743" applyNumberFormat="1" applyFont="1" applyFill="1" applyBorder="1" applyAlignment="1">
      <alignment horizontal="center"/>
    </xf>
    <xf numFmtId="167" fontId="99" fillId="0" borderId="102" xfId="0" applyNumberFormat="1" applyFont="1" applyBorder="1"/>
    <xf numFmtId="9" fontId="103" fillId="71" borderId="24" xfId="33743" applyNumberFormat="1" applyFont="1" applyFill="1" applyBorder="1" applyAlignment="1">
      <alignment horizontal="center"/>
    </xf>
    <xf numFmtId="9" fontId="103" fillId="71" borderId="90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46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6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0" fillId="68" borderId="110" xfId="0" applyNumberFormat="1" applyFill="1" applyBorder="1"/>
    <xf numFmtId="3" fontId="0" fillId="68" borderId="58" xfId="0" applyNumberFormat="1" applyFill="1" applyBorder="1"/>
    <xf numFmtId="3" fontId="3" fillId="69" borderId="57" xfId="0" applyNumberFormat="1" applyFont="1" applyFill="1" applyBorder="1"/>
    <xf numFmtId="3" fontId="0" fillId="68" borderId="55" xfId="0" applyNumberFormat="1" applyFill="1" applyBorder="1"/>
    <xf numFmtId="0" fontId="95" fillId="70" borderId="18" xfId="0" applyFont="1" applyFill="1" applyBorder="1" applyAlignment="1">
      <alignment horizontal="center" vertical="center"/>
    </xf>
    <xf numFmtId="164" fontId="0" fillId="0" borderId="0" xfId="33743" applyNumberFormat="1" applyFont="1" applyBorder="1"/>
    <xf numFmtId="9" fontId="103" fillId="68" borderId="40" xfId="33743" applyNumberFormat="1" applyFont="1" applyFill="1" applyBorder="1" applyAlignment="1">
      <alignment horizontal="center"/>
    </xf>
    <xf numFmtId="9" fontId="103" fillId="68" borderId="39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6" xfId="33744" applyNumberFormat="1" applyFont="1" applyFill="1" applyBorder="1"/>
    <xf numFmtId="180" fontId="0" fillId="68" borderId="28" xfId="33744" applyNumberFormat="1" applyFont="1" applyFill="1" applyBorder="1"/>
    <xf numFmtId="180" fontId="0" fillId="68" borderId="70" xfId="33744" applyNumberFormat="1" applyFont="1" applyFill="1" applyBorder="1"/>
    <xf numFmtId="3" fontId="93" fillId="68" borderId="81" xfId="33743" applyNumberFormat="1" applyFont="1" applyFill="1" applyBorder="1"/>
    <xf numFmtId="3" fontId="93" fillId="68" borderId="77" xfId="33743" applyNumberFormat="1" applyFont="1" applyFill="1" applyBorder="1"/>
    <xf numFmtId="3" fontId="93" fillId="68" borderId="95" xfId="33743" applyNumberFormat="1" applyFont="1" applyFill="1" applyBorder="1"/>
    <xf numFmtId="3" fontId="95" fillId="69" borderId="80" xfId="0" applyNumberFormat="1" applyFont="1" applyFill="1" applyBorder="1"/>
    <xf numFmtId="178" fontId="76" fillId="0" borderId="68" xfId="33743" applyNumberFormat="1" applyFont="1" applyBorder="1"/>
    <xf numFmtId="167" fontId="0" fillId="68" borderId="108" xfId="0" applyNumberFormat="1" applyFill="1" applyBorder="1"/>
    <xf numFmtId="0" fontId="92" fillId="69" borderId="111" xfId="0" applyFont="1" applyFill="1" applyBorder="1" applyAlignment="1">
      <alignment horizontal="center"/>
    </xf>
    <xf numFmtId="167" fontId="99" fillId="0" borderId="82" xfId="0" applyNumberFormat="1" applyFont="1" applyBorder="1"/>
    <xf numFmtId="167" fontId="99" fillId="0" borderId="73" xfId="0" applyNumberFormat="1" applyFont="1" applyBorder="1"/>
    <xf numFmtId="0" fontId="0" fillId="0" borderId="22" xfId="0" applyFont="1" applyBorder="1" applyAlignment="1">
      <alignment horizontal="center"/>
    </xf>
    <xf numFmtId="0" fontId="95" fillId="70" borderId="112" xfId="0" applyFont="1" applyFill="1" applyBorder="1" applyAlignment="1">
      <alignment horizontal="center"/>
    </xf>
    <xf numFmtId="180" fontId="0" fillId="68" borderId="113" xfId="33744" applyNumberFormat="1" applyFont="1" applyFill="1" applyBorder="1"/>
    <xf numFmtId="180" fontId="0" fillId="68" borderId="114" xfId="33744" applyNumberFormat="1" applyFont="1" applyFill="1" applyBorder="1"/>
    <xf numFmtId="43" fontId="0" fillId="68" borderId="114" xfId="33744" applyNumberFormat="1" applyFont="1" applyFill="1" applyBorder="1"/>
    <xf numFmtId="182" fontId="0" fillId="68" borderId="114" xfId="33744" applyNumberFormat="1" applyFont="1" applyFill="1" applyBorder="1"/>
    <xf numFmtId="180" fontId="0" fillId="68" borderId="115" xfId="33744" applyNumberFormat="1" applyFont="1" applyFill="1" applyBorder="1"/>
    <xf numFmtId="180" fontId="95" fillId="70" borderId="116" xfId="33744" applyNumberFormat="1" applyFont="1" applyFill="1" applyBorder="1"/>
    <xf numFmtId="0" fontId="92" fillId="68" borderId="54" xfId="0" applyFont="1" applyFill="1" applyBorder="1" applyAlignment="1">
      <alignment horizontal="center"/>
    </xf>
    <xf numFmtId="3" fontId="0" fillId="71" borderId="117" xfId="0" applyNumberFormat="1" applyFill="1" applyBorder="1"/>
    <xf numFmtId="3" fontId="0" fillId="68" borderId="56" xfId="0" applyNumberFormat="1" applyFill="1" applyBorder="1"/>
    <xf numFmtId="3" fontId="0" fillId="68" borderId="118" xfId="0" applyNumberFormat="1" applyFill="1" applyBorder="1"/>
    <xf numFmtId="3" fontId="0" fillId="71" borderId="57" xfId="0" applyNumberFormat="1" applyFont="1" applyFill="1" applyBorder="1"/>
    <xf numFmtId="0" fontId="92" fillId="0" borderId="54" xfId="0" applyFont="1" applyBorder="1" applyAlignment="1">
      <alignment horizontal="center"/>
    </xf>
    <xf numFmtId="3" fontId="0" fillId="68" borderId="55" xfId="0" applyNumberFormat="1" applyFill="1" applyBorder="1" applyAlignment="1">
      <alignment vertical="center"/>
    </xf>
    <xf numFmtId="3" fontId="0" fillId="0" borderId="118" xfId="0" applyNumberFormat="1" applyFill="1" applyBorder="1"/>
    <xf numFmtId="167" fontId="0" fillId="68" borderId="119" xfId="0" applyNumberFormat="1" applyFill="1" applyBorder="1"/>
    <xf numFmtId="3" fontId="0" fillId="68" borderId="119" xfId="0" applyNumberFormat="1" applyFill="1" applyBorder="1"/>
    <xf numFmtId="0" fontId="95" fillId="70" borderId="78" xfId="0" applyFont="1" applyFill="1" applyBorder="1" applyAlignment="1">
      <alignment horizontal="center"/>
    </xf>
    <xf numFmtId="180" fontId="0" fillId="68" borderId="81" xfId="33744" applyNumberFormat="1" applyFont="1" applyFill="1" applyBorder="1"/>
    <xf numFmtId="180" fontId="0" fillId="68" borderId="77" xfId="33744" applyNumberFormat="1" applyFont="1" applyFill="1" applyBorder="1"/>
    <xf numFmtId="180" fontId="0" fillId="68" borderId="95" xfId="33744" applyNumberFormat="1" applyFont="1" applyFill="1" applyBorder="1"/>
    <xf numFmtId="180" fontId="95" fillId="70" borderId="80" xfId="33744" applyNumberFormat="1" applyFont="1" applyFill="1" applyBorder="1"/>
    <xf numFmtId="4" fontId="0" fillId="68" borderId="55" xfId="0" applyNumberFormat="1" applyFill="1" applyBorder="1"/>
    <xf numFmtId="0" fontId="0" fillId="71" borderId="47" xfId="0" applyFont="1" applyFill="1" applyBorder="1" applyAlignment="1">
      <alignment horizontal="center"/>
    </xf>
    <xf numFmtId="0" fontId="0" fillId="71" borderId="48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" fillId="71" borderId="20" xfId="0" applyFont="1" applyFill="1" applyBorder="1" applyAlignment="1">
      <alignment horizontal="center"/>
    </xf>
    <xf numFmtId="0" fontId="3" fillId="71" borderId="45" xfId="0" applyFont="1" applyFill="1" applyBorder="1" applyAlignment="1">
      <alignment horizont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1" xfId="0" applyFont="1" applyFill="1" applyBorder="1" applyAlignment="1">
      <alignment horizontal="center"/>
    </xf>
    <xf numFmtId="0" fontId="3" fillId="68" borderId="42" xfId="0" applyFont="1" applyFill="1" applyBorder="1" applyAlignment="1">
      <alignment horizontal="center"/>
    </xf>
    <xf numFmtId="0" fontId="104" fillId="0" borderId="29" xfId="0" applyFont="1" applyBorder="1" applyAlignment="1">
      <alignment horizontal="center" vertical="center"/>
    </xf>
    <xf numFmtId="0" fontId="104" fillId="0" borderId="24" xfId="0" applyFont="1" applyBorder="1" applyAlignment="1">
      <alignment horizontal="center" vertical="center"/>
    </xf>
    <xf numFmtId="0" fontId="92" fillId="68" borderId="76" xfId="0" applyFont="1" applyFill="1" applyBorder="1" applyAlignment="1">
      <alignment horizontal="center"/>
    </xf>
    <xf numFmtId="0" fontId="92" fillId="68" borderId="42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46" xfId="0" applyFont="1" applyFill="1" applyBorder="1" applyAlignment="1">
      <alignment horizontal="center"/>
    </xf>
    <xf numFmtId="0" fontId="92" fillId="69" borderId="76" xfId="0" applyFont="1" applyFill="1" applyBorder="1" applyAlignment="1">
      <alignment horizontal="center" vertical="center"/>
    </xf>
    <xf numFmtId="0" fontId="92" fillId="69" borderId="49" xfId="0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46" xfId="0" applyFont="1" applyFill="1" applyBorder="1" applyAlignment="1">
      <alignment horizontal="center" vertical="center"/>
    </xf>
    <xf numFmtId="0" fontId="3" fillId="70" borderId="59" xfId="0" applyFont="1" applyFill="1" applyBorder="1" applyAlignment="1">
      <alignment horizontal="center" vertical="center"/>
    </xf>
    <xf numFmtId="0" fontId="3" fillId="69" borderId="49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2" xfId="0" quotePrefix="1" applyNumberFormat="1" applyFont="1" applyFill="1" applyBorder="1" applyAlignment="1">
      <alignment horizontal="center"/>
    </xf>
    <xf numFmtId="0" fontId="95" fillId="70" borderId="19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1" xfId="0" applyFont="1" applyFill="1" applyBorder="1" applyAlignment="1">
      <alignment horizontal="center" vertical="center"/>
    </xf>
    <xf numFmtId="0" fontId="3" fillId="69" borderId="42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4" fontId="99" fillId="0" borderId="102" xfId="0" applyNumberFormat="1" applyFont="1" applyBorder="1"/>
    <xf numFmtId="4" fontId="99" fillId="0" borderId="73" xfId="0" applyNumberFormat="1" applyFont="1" applyBorder="1"/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Mayo 2020</a:t>
            </a:r>
          </a:p>
          <a:p>
            <a:pPr>
              <a:defRPr sz="800" b="1"/>
            </a:pPr>
            <a:r>
              <a:rPr lang="es-PE" sz="800" b="1"/>
              <a:t>Total : 3 633 GWh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47-4B77-B331-5D7ABFB940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49.970431019734114</c:v>
                </c:pt>
                <c:pt idx="1">
                  <c:v>117.15475633723617</c:v>
                </c:pt>
                <c:pt idx="2">
                  <c:v>2789.6764995633321</c:v>
                </c:pt>
                <c:pt idx="3">
                  <c:v>486.82046794034898</c:v>
                </c:pt>
                <c:pt idx="4">
                  <c:v>189.53409203000007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2340.0253946340581</c:v>
                </c:pt>
                <c:pt idx="2" formatCode="_(* #,##0.00_);_(* \(#,##0.00\);_(* &quot;-&quot;??_);_(@_)">
                  <c:v>6.463E-3</c:v>
                </c:pt>
                <c:pt idx="3">
                  <c:v>422.82419124094349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53.780076065000003</c:v>
                </c:pt>
                <c:pt idx="1">
                  <c:v>356.39621208667916</c:v>
                </c:pt>
                <c:pt idx="2" formatCode="_ * #,##0.0_ ;_ * \-#,##0.0_ ;_ * &quot;-&quot;??_ ;_ @_ ">
                  <c:v>58.921325105000008</c:v>
                </c:pt>
                <c:pt idx="3">
                  <c:v>50.397398521471075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38-45A7-BE0F-57B660BBCB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37.603000000000002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2762.8560488750018</c:v>
                </c:pt>
                <c:pt idx="1">
                  <c:v>519.49501177815023</c:v>
                </c:pt>
                <c:pt idx="2">
                  <c:v>313.20218623749997</c:v>
                </c:pt>
                <c:pt idx="3">
                  <c:v>37.603000000000002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25788528"/>
        <c:axId val="425789704"/>
      </c:barChart>
      <c:catAx>
        <c:axId val="4257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5789704"/>
        <c:crosses val="autoZero"/>
        <c:auto val="1"/>
        <c:lblAlgn val="ctr"/>
        <c:lblOffset val="100"/>
        <c:noMultiLvlLbl val="0"/>
      </c:catAx>
      <c:valAx>
        <c:axId val="42578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578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ANCASH</c:v>
                </c:pt>
                <c:pt idx="5">
                  <c:v>CUSCO</c:v>
                </c:pt>
                <c:pt idx="6">
                  <c:v>CAJAMARCA</c:v>
                </c:pt>
                <c:pt idx="7">
                  <c:v>PUNO</c:v>
                </c:pt>
                <c:pt idx="8">
                  <c:v>AREQUIPA</c:v>
                </c:pt>
                <c:pt idx="9">
                  <c:v>PIURA</c:v>
                </c:pt>
                <c:pt idx="10">
                  <c:v>LA LIBERTAD</c:v>
                </c:pt>
                <c:pt idx="11">
                  <c:v>PASCO</c:v>
                </c:pt>
                <c:pt idx="12">
                  <c:v>ICA</c:v>
                </c:pt>
                <c:pt idx="13">
                  <c:v>MOQUEGUA</c:v>
                </c:pt>
                <c:pt idx="14">
                  <c:v>LORETO</c:v>
                </c:pt>
                <c:pt idx="15">
                  <c:v>TACNA</c:v>
                </c:pt>
                <c:pt idx="16">
                  <c:v>CALLAO</c:v>
                </c:pt>
                <c:pt idx="17">
                  <c:v>APURIMAC</c:v>
                </c:pt>
                <c:pt idx="18">
                  <c:v>SAN MARTÍN</c:v>
                </c:pt>
                <c:pt idx="19">
                  <c:v>LAMBAYEQUE</c:v>
                </c:pt>
                <c:pt idx="20">
                  <c:v>AMAZONAS</c:v>
                </c:pt>
                <c:pt idx="21">
                  <c:v>UCAYALI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1048.9064054150019</c:v>
                </c:pt>
                <c:pt idx="1">
                  <c:v>922.42703312999959</c:v>
                </c:pt>
                <c:pt idx="2">
                  <c:v>255.46699839500025</c:v>
                </c:pt>
                <c:pt idx="3">
                  <c:v>226.55245702000022</c:v>
                </c:pt>
                <c:pt idx="4">
                  <c:v>211.8533097399997</c:v>
                </c:pt>
                <c:pt idx="5">
                  <c:v>177.34713662499999</c:v>
                </c:pt>
                <c:pt idx="6">
                  <c:v>113.14322756750003</c:v>
                </c:pt>
                <c:pt idx="7">
                  <c:v>96.368863272499979</c:v>
                </c:pt>
                <c:pt idx="8">
                  <c:v>94.432375860650211</c:v>
                </c:pt>
                <c:pt idx="9">
                  <c:v>93.713088882499989</c:v>
                </c:pt>
                <c:pt idx="10">
                  <c:v>91.778698052499976</c:v>
                </c:pt>
                <c:pt idx="11">
                  <c:v>89.923274777499969</c:v>
                </c:pt>
                <c:pt idx="12">
                  <c:v>80.130076065000011</c:v>
                </c:pt>
                <c:pt idx="13">
                  <c:v>51.925639539999999</c:v>
                </c:pt>
                <c:pt idx="14">
                  <c:v>37.603000000000002</c:v>
                </c:pt>
                <c:pt idx="15">
                  <c:v>13.4875724125</c:v>
                </c:pt>
                <c:pt idx="16">
                  <c:v>6.4163286975</c:v>
                </c:pt>
                <c:pt idx="17">
                  <c:v>4.7969730000000004</c:v>
                </c:pt>
                <c:pt idx="18">
                  <c:v>4.75</c:v>
                </c:pt>
                <c:pt idx="19">
                  <c:v>4.6350389349999999</c:v>
                </c:pt>
                <c:pt idx="20">
                  <c:v>4.0579999999999998</c:v>
                </c:pt>
                <c:pt idx="21">
                  <c:v>1.3102417</c:v>
                </c:pt>
                <c:pt idx="22">
                  <c:v>1.1241328000000002</c:v>
                </c:pt>
                <c:pt idx="23">
                  <c:v>0.86560000000000004</c:v>
                </c:pt>
                <c:pt idx="24">
                  <c:v>0.14077500250000002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25787352"/>
        <c:axId val="425783824"/>
      </c:barChart>
      <c:catAx>
        <c:axId val="42578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25783824"/>
        <c:crosses val="autoZero"/>
        <c:auto val="1"/>
        <c:lblAlgn val="ctr"/>
        <c:lblOffset val="100"/>
        <c:noMultiLvlLbl val="0"/>
      </c:catAx>
      <c:valAx>
        <c:axId val="425783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257873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2901.9022677683688</c:v>
                </c:pt>
                <c:pt idx="1">
                  <c:v>1750.4945786602261</c:v>
                </c:pt>
                <c:pt idx="2">
                  <c:v>142.6506239</c:v>
                </c:pt>
                <c:pt idx="3">
                  <c:v>57.422954814999997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2839.646930583066</c:v>
                </c:pt>
                <c:pt idx="1">
                  <c:v>603.97522427758508</c:v>
                </c:pt>
                <c:pt idx="2">
                  <c:v>130.60630392500005</c:v>
                </c:pt>
                <c:pt idx="3">
                  <c:v>58.927788105000005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052088"/>
        <c:axId val="420050912"/>
      </c:barChart>
      <c:catAx>
        <c:axId val="420052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050912"/>
        <c:crosses val="autoZero"/>
        <c:auto val="1"/>
        <c:lblAlgn val="ctr"/>
        <c:lblOffset val="100"/>
        <c:noMultiLvlLbl val="0"/>
      </c:catAx>
      <c:valAx>
        <c:axId val="4200509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05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217.43152696291713</c:v>
                </c:pt>
                <c:pt idx="1">
                  <c:v>171.94219057838936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4635.0388981806782</c:v>
                </c:pt>
                <c:pt idx="1">
                  <c:v>3461.2140563122621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0049736"/>
        <c:axId val="420050128"/>
        <c:axId val="386670384"/>
      </c:bar3DChart>
      <c:catAx>
        <c:axId val="42004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050128"/>
        <c:crosses val="autoZero"/>
        <c:auto val="1"/>
        <c:lblAlgn val="ctr"/>
        <c:lblOffset val="100"/>
        <c:noMultiLvlLbl val="0"/>
      </c:catAx>
      <c:valAx>
        <c:axId val="42005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049736"/>
        <c:crosses val="autoZero"/>
        <c:crossBetween val="between"/>
      </c:valAx>
      <c:serAx>
        <c:axId val="386670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05012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F6-4BDA-ACDC-A6E51A6C70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F6-4BDA-ACDC-A6E51A6C70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2727.1475772658687</c:v>
                </c:pt>
                <c:pt idx="1">
                  <c:v>2634.3057854755662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F6-4BDA-ACDC-A6E51A6C70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BF6-4BDA-ACDC-A6E51A6C70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1709.6237732177262</c:v>
                </c:pt>
                <c:pt idx="1">
                  <c:v>566.62689365644042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F6-4BDA-ACDC-A6E51A6C70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F6-4BDA-ACDC-A6E51A6C70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174.75469050250007</c:v>
                </c:pt>
                <c:pt idx="1">
                  <c:v>205.34114510749987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BF6-4BDA-ACDC-A6E51A6C70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F6-4BDA-ACDC-A6E51A6C70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240.9443841575</c:v>
                </c:pt>
                <c:pt idx="1">
                  <c:v>226.88242265114468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0055616"/>
        <c:axId val="420054440"/>
        <c:axId val="0"/>
      </c:bar3DChart>
      <c:catAx>
        <c:axId val="4200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054440"/>
        <c:crosses val="autoZero"/>
        <c:auto val="1"/>
        <c:lblAlgn val="ctr"/>
        <c:lblOffset val="100"/>
        <c:noMultiLvlLbl val="0"/>
      </c:catAx>
      <c:valAx>
        <c:axId val="42005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055616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2839.646930583066</c:v>
                </c:pt>
                <c:pt idx="1">
                  <c:v>456.1097493652934</c:v>
                </c:pt>
                <c:pt idx="2">
                  <c:v>110.3022544807709</c:v>
                </c:pt>
                <c:pt idx="3">
                  <c:v>37.348330621144612</c:v>
                </c:pt>
                <c:pt idx="4">
                  <c:v>130.60630392500005</c:v>
                </c:pt>
                <c:pt idx="5">
                  <c:v>58.927788105000005</c:v>
                </c:pt>
                <c:pt idx="6" formatCode="#,##0.0">
                  <c:v>0.2148898103760977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0054832"/>
        <c:axId val="420051304"/>
      </c:barChart>
      <c:catAx>
        <c:axId val="42005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051304"/>
        <c:crosses val="autoZero"/>
        <c:auto val="1"/>
        <c:lblAlgn val="ctr"/>
        <c:lblOffset val="100"/>
        <c:noMultiLvlLbl val="0"/>
      </c:catAx>
      <c:valAx>
        <c:axId val="42005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05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37-4694-BAD5-10A4F4B0424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37-4694-BAD5-10A4F4B0424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4611.5260409860957</c:v>
                </c:pt>
                <c:pt idx="1">
                  <c:v>3406.2738242395062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(1)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4E-4059-B774-614AB2D2630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4E-4059-B774-614AB2D2630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240.9443841575</c:v>
                </c:pt>
                <c:pt idx="1">
                  <c:v>226.88242265114468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20054048"/>
        <c:axId val="420055224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5330716549030166E-2"/>
                  <c:y val="-3.5286000250162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0FD-488B-8AB7-48A84AE60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948808545833543E-2"/>
                  <c:y val="-5.077530038684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FD-488B-8AB7-48A84AE604A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4.965396242479312E-2</c:v>
                </c:pt>
                <c:pt idx="1">
                  <c:v>6.2447747146937745E-2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051696"/>
        <c:axId val="420056008"/>
      </c:lineChart>
      <c:catAx>
        <c:axId val="4200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055224"/>
        <c:crosses val="autoZero"/>
        <c:auto val="1"/>
        <c:lblAlgn val="ctr"/>
        <c:lblOffset val="100"/>
        <c:noMultiLvlLbl val="1"/>
      </c:catAx>
      <c:valAx>
        <c:axId val="420055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054048"/>
        <c:crosses val="autoZero"/>
        <c:crossBetween val="between"/>
        <c:majorUnit val="1000"/>
      </c:valAx>
      <c:valAx>
        <c:axId val="420056008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0051696"/>
        <c:crosses val="max"/>
        <c:crossBetween val="between"/>
      </c:valAx>
      <c:catAx>
        <c:axId val="42005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420056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0693217125727976"/>
                  <c:y val="-0.122155179237783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0937813558810065"/>
                  <c:y val="0.255011500250296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053707138052757"/>
                  <c:y val="-7.4219816999410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1F6-4538-A631-E09024FD6E7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4"/>
              <c:layout>
                <c:manualLayout>
                  <c:x val="-0.12524437960552937"/>
                  <c:y val="-4.06505696609684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2901.9022677683688</c:v>
                </c:pt>
                <c:pt idx="1">
                  <c:v>1533.7226464824996</c:v>
                </c:pt>
                <c:pt idx="2">
                  <c:v>175.52112673522697</c:v>
                </c:pt>
                <c:pt idx="3" formatCode="#,##0.00">
                  <c:v>0.38</c:v>
                </c:pt>
                <c:pt idx="4">
                  <c:v>40.8708054425</c:v>
                </c:pt>
                <c:pt idx="5">
                  <c:v>142.6506239</c:v>
                </c:pt>
                <c:pt idx="6">
                  <c:v>57.422954814999997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6613689363606776"/>
                  <c:y val="-0.199220235088975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5907204892861787"/>
                  <c:y val="0.205453950500425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2117313151581134E-2"/>
                  <c:y val="-8.8379116927944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CD-4ECA-B69A-AB2E7C52107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4"/>
              <c:layout>
                <c:manualLayout>
                  <c:x val="-0.10371440557237165"/>
                  <c:y val="-6.5051112842930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2839.646930583066</c:v>
                </c:pt>
                <c:pt idx="1">
                  <c:v>456.1097493652934</c:v>
                </c:pt>
                <c:pt idx="2">
                  <c:v>110.3022544807709</c:v>
                </c:pt>
                <c:pt idx="3" formatCode="#,##0.00">
                  <c:v>0.2148898103760977</c:v>
                </c:pt>
                <c:pt idx="4">
                  <c:v>37.348330621144612</c:v>
                </c:pt>
                <c:pt idx="5">
                  <c:v>130.60630392500005</c:v>
                </c:pt>
                <c:pt idx="6">
                  <c:v>58.927788105000005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DF3-4B8C-A071-F881905C8C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76.826227860000046</c:v>
                </c:pt>
                <c:pt idx="1">
                  <c:v>143.22532386232945</c:v>
                </c:pt>
                <c:pt idx="2">
                  <c:v>0</c:v>
                </c:pt>
                <c:pt idx="3">
                  <c:v>93.150634515170481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mayo 2020</a:t>
          </a:r>
        </a:p>
      </xdr:txBody>
    </xdr:sp>
    <xdr:clientData/>
  </xdr:twoCellAnchor>
  <xdr:twoCellAnchor>
    <xdr:from>
      <xdr:col>2</xdr:col>
      <xdr:colOff>337008</xdr:colOff>
      <xdr:row>59</xdr:row>
      <xdr:rowOff>0</xdr:rowOff>
    </xdr:from>
    <xdr:to>
      <xdr:col>8</xdr:col>
      <xdr:colOff>125016</xdr:colOff>
      <xdr:row>61</xdr:row>
      <xdr:rowOff>63500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067258" y="9993313"/>
          <a:ext cx="538394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2020 vs 2019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/>
      </xdr:nvGrpSpPr>
      <xdr:grpSpPr>
        <a:xfrm>
          <a:off x="713069" y="1174377"/>
          <a:ext cx="6692620" cy="2291799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xmlns="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xmlns="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190501</xdr:colOff>
      <xdr:row>18</xdr:row>
      <xdr:rowOff>39461</xdr:rowOff>
    </xdr:from>
    <xdr:to>
      <xdr:col>5</xdr:col>
      <xdr:colOff>520495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557894" y="3305175"/>
          <a:ext cx="4003922" cy="554490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xmlns="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xmlns="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xmlns="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xmlns="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xmlns="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xmlns="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zoomScaleNormal="120" zoomScaleSheetLayoutView="100" workbookViewId="0">
      <selection activeCell="C3" sqref="C3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124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111</v>
      </c>
    </row>
    <row r="8" spans="2:19" s="1" customFormat="1">
      <c r="B8" s="8"/>
      <c r="C8" s="129"/>
      <c r="D8" s="129"/>
      <c r="E8" s="129"/>
      <c r="F8" s="129"/>
      <c r="G8" s="129"/>
      <c r="H8" s="9"/>
      <c r="I8" s="9"/>
      <c r="J8" s="9"/>
      <c r="K8" s="9"/>
    </row>
    <row r="9" spans="2:19" s="1" customFormat="1" ht="25.5">
      <c r="B9" s="8"/>
      <c r="C9" s="178" t="s">
        <v>62</v>
      </c>
      <c r="D9" s="179" t="s">
        <v>69</v>
      </c>
      <c r="E9" s="180" t="s">
        <v>70</v>
      </c>
      <c r="F9" s="181" t="s">
        <v>71</v>
      </c>
      <c r="G9" s="182" t="s">
        <v>72</v>
      </c>
      <c r="H9" s="9"/>
      <c r="I9" s="9"/>
      <c r="J9" s="9"/>
      <c r="K9" s="9"/>
    </row>
    <row r="10" spans="2:19" s="1" customFormat="1" ht="13.5" thickBot="1">
      <c r="B10" s="8"/>
      <c r="C10" s="183" t="s">
        <v>63</v>
      </c>
      <c r="D10" s="184"/>
      <c r="E10" s="185"/>
      <c r="F10" s="186"/>
      <c r="G10" s="187"/>
      <c r="H10" s="9"/>
      <c r="I10" s="9"/>
      <c r="J10" s="9"/>
      <c r="K10" s="9"/>
    </row>
    <row r="11" spans="2:19" s="1" customFormat="1" ht="13.5" thickTop="1">
      <c r="B11" s="8"/>
      <c r="C11" s="130"/>
      <c r="D11" s="131"/>
      <c r="E11" s="132"/>
      <c r="F11" s="133"/>
      <c r="G11" s="134"/>
      <c r="H11" s="9"/>
      <c r="I11" s="9"/>
      <c r="J11" s="9"/>
      <c r="K11" s="9"/>
      <c r="Q11" s="382" t="s">
        <v>64</v>
      </c>
      <c r="R11" s="144" t="s">
        <v>41</v>
      </c>
      <c r="S11" s="145">
        <f>E12</f>
        <v>49.970431019734114</v>
      </c>
    </row>
    <row r="12" spans="2:19" s="1" customFormat="1">
      <c r="B12" s="8"/>
      <c r="C12" s="135" t="s">
        <v>66</v>
      </c>
      <c r="D12" s="136">
        <v>2789.6764995633321</v>
      </c>
      <c r="E12" s="137">
        <v>49.970431019734114</v>
      </c>
      <c r="F12" s="138">
        <f>SUM(D12:E12)</f>
        <v>2839.646930583066</v>
      </c>
      <c r="G12" s="333">
        <f>(F12/F$16)</f>
        <v>0.78159229540796904</v>
      </c>
      <c r="H12" s="9"/>
      <c r="I12" s="9"/>
      <c r="J12" s="9"/>
      <c r="K12" s="9"/>
      <c r="Q12" s="382"/>
      <c r="R12" s="144" t="s">
        <v>73</v>
      </c>
      <c r="S12" s="145">
        <f>E13</f>
        <v>117.15475633723617</v>
      </c>
    </row>
    <row r="13" spans="2:19" s="1" customFormat="1">
      <c r="B13" s="8"/>
      <c r="C13" s="135" t="s">
        <v>65</v>
      </c>
      <c r="D13" s="136">
        <v>486.82046794034898</v>
      </c>
      <c r="E13" s="137">
        <v>117.15475633723617</v>
      </c>
      <c r="F13" s="138">
        <f>SUM(D13:E13)</f>
        <v>603.97522427758508</v>
      </c>
      <c r="G13" s="333">
        <f>(F13/F$16)-0.002</f>
        <v>0.1642398155307751</v>
      </c>
      <c r="H13" s="9"/>
      <c r="I13" s="9"/>
      <c r="J13" s="9"/>
      <c r="K13" s="9"/>
      <c r="Q13" s="382" t="s">
        <v>88</v>
      </c>
      <c r="R13" s="144" t="s">
        <v>41</v>
      </c>
      <c r="S13" s="145">
        <f>D12</f>
        <v>2789.6764995633321</v>
      </c>
    </row>
    <row r="14" spans="2:19" s="1" customFormat="1">
      <c r="B14" s="8"/>
      <c r="C14" s="135" t="s">
        <v>67</v>
      </c>
      <c r="D14" s="136">
        <v>130.60630392500005</v>
      </c>
      <c r="E14" s="139"/>
      <c r="F14" s="138">
        <f>SUM(D14:E14)</f>
        <v>130.60630392500005</v>
      </c>
      <c r="G14" s="333">
        <f>(F14/F$16)</f>
        <v>3.5948441258692433E-2</v>
      </c>
      <c r="H14" s="9"/>
      <c r="I14" s="9"/>
      <c r="J14" s="9"/>
      <c r="K14" s="9"/>
      <c r="Q14" s="382"/>
      <c r="R14" s="144" t="s">
        <v>73</v>
      </c>
      <c r="S14" s="145">
        <f>D13</f>
        <v>486.82046794034898</v>
      </c>
    </row>
    <row r="15" spans="2:19" s="1" customFormat="1" ht="13.5" thickBot="1">
      <c r="B15" s="8"/>
      <c r="C15" s="140" t="s">
        <v>5</v>
      </c>
      <c r="D15" s="141">
        <v>58.927788105000005</v>
      </c>
      <c r="E15" s="142"/>
      <c r="F15" s="143">
        <f>SUM(D15:E15)</f>
        <v>58.927788105000005</v>
      </c>
      <c r="G15" s="334">
        <f>(F15/F$16)</f>
        <v>1.6219447802563385E-2</v>
      </c>
      <c r="H15" s="9"/>
      <c r="I15" s="9"/>
      <c r="J15" s="9"/>
      <c r="K15" s="9"/>
      <c r="Q15" s="382"/>
      <c r="R15" s="144" t="s">
        <v>87</v>
      </c>
      <c r="S15" s="145">
        <f>SUM(D14:D15)</f>
        <v>189.53409203000007</v>
      </c>
    </row>
    <row r="16" spans="2:19" s="1" customFormat="1" ht="13.5" thickTop="1">
      <c r="B16" s="8"/>
      <c r="C16" s="244" t="s">
        <v>71</v>
      </c>
      <c r="D16" s="245">
        <f>SUM(D12:D15)</f>
        <v>3466.0310595336814</v>
      </c>
      <c r="E16" s="246">
        <f>SUM(E12:E15)</f>
        <v>167.12518735697029</v>
      </c>
      <c r="F16" s="247">
        <f>SUM(F12:F15)</f>
        <v>3633.1562468906513</v>
      </c>
      <c r="G16" s="248"/>
      <c r="H16" s="9"/>
      <c r="I16" s="9"/>
      <c r="J16" s="9"/>
      <c r="K16" s="9"/>
    </row>
    <row r="17" spans="2:19" s="1" customFormat="1">
      <c r="B17" s="8"/>
      <c r="C17" s="249" t="s">
        <v>107</v>
      </c>
      <c r="D17" s="317">
        <f>D16/F16</f>
        <v>0.95399999999999996</v>
      </c>
      <c r="E17" s="318">
        <f>E16/F16</f>
        <v>4.6000000000000089E-2</v>
      </c>
      <c r="F17" s="250"/>
      <c r="G17" s="251"/>
      <c r="H17" s="9"/>
      <c r="I17" s="9"/>
      <c r="J17" s="9"/>
      <c r="K17" s="9"/>
    </row>
    <row r="18" spans="2:19" s="1" customFormat="1">
      <c r="B18" s="8"/>
      <c r="C18" s="130"/>
      <c r="D18" s="130"/>
      <c r="E18" s="130"/>
      <c r="F18" s="130"/>
      <c r="G18" s="130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115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0"/>
      <c r="D22" s="130"/>
      <c r="E22" s="130"/>
      <c r="F22" s="130"/>
      <c r="G22" s="130"/>
      <c r="H22" s="129"/>
      <c r="I22" s="129"/>
      <c r="J22" s="129"/>
      <c r="K22" s="9"/>
    </row>
    <row r="23" spans="2:19" s="1" customFormat="1" ht="12.75" customHeight="1">
      <c r="B23" s="8"/>
      <c r="C23" s="389" t="s">
        <v>110</v>
      </c>
      <c r="D23" s="390"/>
      <c r="E23" s="383" t="s">
        <v>125</v>
      </c>
      <c r="F23" s="384"/>
      <c r="G23" s="149" t="s">
        <v>74</v>
      </c>
      <c r="H23" s="387" t="s">
        <v>126</v>
      </c>
      <c r="I23" s="388"/>
      <c r="J23" s="149" t="s">
        <v>74</v>
      </c>
      <c r="K23" s="9"/>
      <c r="Q23" s="144"/>
      <c r="R23" s="144">
        <v>2019</v>
      </c>
      <c r="S23" s="144">
        <v>2020</v>
      </c>
    </row>
    <row r="24" spans="2:19" s="1" customFormat="1" ht="12.75" customHeight="1">
      <c r="B24" s="8"/>
      <c r="C24" s="150"/>
      <c r="D24" s="151"/>
      <c r="E24" s="152">
        <v>2019</v>
      </c>
      <c r="F24" s="357">
        <v>2020</v>
      </c>
      <c r="G24" s="153"/>
      <c r="H24" s="232">
        <v>2019</v>
      </c>
      <c r="I24" s="357">
        <v>2020</v>
      </c>
      <c r="J24" s="153"/>
      <c r="K24" s="9"/>
      <c r="Q24" s="144" t="s">
        <v>76</v>
      </c>
      <c r="R24" s="145">
        <f>E29</f>
        <v>217.43152696291713</v>
      </c>
      <c r="S24" s="145">
        <f>F29</f>
        <v>171.94219057838936</v>
      </c>
    </row>
    <row r="25" spans="2:19" s="1" customFormat="1">
      <c r="B25" s="8"/>
      <c r="C25" s="378" t="s">
        <v>0</v>
      </c>
      <c r="D25" s="379"/>
      <c r="E25" s="188">
        <f>SUM(E26:E28)</f>
        <v>4635.0388981806782</v>
      </c>
      <c r="F25" s="358">
        <f>SUM(F26:F28)</f>
        <v>3461.2140563122621</v>
      </c>
      <c r="G25" s="189">
        <f>((F25/E25)-1)</f>
        <v>-0.25325026772249093</v>
      </c>
      <c r="H25" s="233">
        <f>SUM(H26:H28)</f>
        <v>22752.648480808737</v>
      </c>
      <c r="I25" s="358">
        <f>SUM(I26:I28)</f>
        <v>20008.139795516137</v>
      </c>
      <c r="J25" s="189">
        <f>((I25/H25)-1)</f>
        <v>-0.12062370179047599</v>
      </c>
      <c r="K25" s="9"/>
      <c r="Q25" s="144" t="s">
        <v>0</v>
      </c>
      <c r="R25" s="145">
        <f>E25</f>
        <v>4635.0388981806782</v>
      </c>
      <c r="S25" s="145">
        <f>F25</f>
        <v>3461.2140563122621</v>
      </c>
    </row>
    <row r="26" spans="2:19" s="1" customFormat="1">
      <c r="B26" s="8"/>
      <c r="C26" s="265" t="s">
        <v>62</v>
      </c>
      <c r="D26" s="273" t="s">
        <v>102</v>
      </c>
      <c r="E26" s="155">
        <v>4485.2532306075</v>
      </c>
      <c r="F26" s="359">
        <v>3344.7199724500019</v>
      </c>
      <c r="G26" s="156">
        <f t="shared" ref="G26:G32" si="0">((F26/E26)-1)</f>
        <v>-0.25428514278178671</v>
      </c>
      <c r="H26" s="234">
        <v>22058.78506255</v>
      </c>
      <c r="I26" s="359">
        <v>19386.994347145006</v>
      </c>
      <c r="J26" s="156">
        <f t="shared" ref="J26:J32" si="1">((I26/H26)-1)</f>
        <v>-0.12112139031360303</v>
      </c>
      <c r="K26" s="9"/>
    </row>
    <row r="27" spans="2:19" s="1" customFormat="1">
      <c r="B27" s="8"/>
      <c r="C27" s="266" t="s">
        <v>104</v>
      </c>
      <c r="D27" s="274" t="s">
        <v>77</v>
      </c>
      <c r="E27" s="268">
        <v>99.766364282499964</v>
      </c>
      <c r="F27" s="360">
        <v>83.261341237465956</v>
      </c>
      <c r="G27" s="277">
        <f t="shared" si="0"/>
        <v>-0.16543674978771539</v>
      </c>
      <c r="H27" s="269">
        <v>449.27138686113199</v>
      </c>
      <c r="I27" s="360">
        <v>430.45101422827446</v>
      </c>
      <c r="J27" s="277">
        <f t="shared" si="1"/>
        <v>-4.1890877503567459E-2</v>
      </c>
      <c r="K27" s="9"/>
    </row>
    <row r="28" spans="2:19" s="1" customFormat="1">
      <c r="B28" s="8"/>
      <c r="C28" s="267" t="s">
        <v>64</v>
      </c>
      <c r="D28" s="275" t="s">
        <v>77</v>
      </c>
      <c r="E28" s="155">
        <v>50.019303290678053</v>
      </c>
      <c r="F28" s="359">
        <v>33.23274262479422</v>
      </c>
      <c r="G28" s="276">
        <f t="shared" si="0"/>
        <v>-0.33560164899402534</v>
      </c>
      <c r="H28" s="234">
        <v>244.59203139760751</v>
      </c>
      <c r="I28" s="359">
        <v>190.69443414285772</v>
      </c>
      <c r="J28" s="276">
        <f t="shared" si="1"/>
        <v>-0.22035712670922691</v>
      </c>
      <c r="K28" s="9"/>
    </row>
    <row r="29" spans="2:19" s="1" customFormat="1">
      <c r="B29" s="8"/>
      <c r="C29" s="378" t="s">
        <v>76</v>
      </c>
      <c r="D29" s="379"/>
      <c r="E29" s="188">
        <f>SUM(E30:E31)</f>
        <v>217.43152696291713</v>
      </c>
      <c r="F29" s="358">
        <f>SUM(F30:F31)</f>
        <v>171.94219057838936</v>
      </c>
      <c r="G29" s="189">
        <f t="shared" si="0"/>
        <v>-0.20921223807753497</v>
      </c>
      <c r="H29" s="233">
        <f>SUM(H30:H31)</f>
        <v>1049.3962937654635</v>
      </c>
      <c r="I29" s="358">
        <f>SUM(I30:I31)</f>
        <v>951.59592680417745</v>
      </c>
      <c r="J29" s="189">
        <f t="shared" si="1"/>
        <v>-9.3196790899991555E-2</v>
      </c>
      <c r="K29" s="9"/>
      <c r="Q29" s="144"/>
      <c r="R29" s="144"/>
      <c r="S29" s="144"/>
    </row>
    <row r="30" spans="2:19" s="1" customFormat="1">
      <c r="B30" s="8"/>
      <c r="C30" s="270" t="s">
        <v>68</v>
      </c>
      <c r="D30" s="151"/>
      <c r="E30" s="155">
        <v>45.945506399999992</v>
      </c>
      <c r="F30" s="359">
        <v>38.049745846213305</v>
      </c>
      <c r="G30" s="276">
        <f t="shared" si="0"/>
        <v>-0.17185055019410311</v>
      </c>
      <c r="H30" s="234">
        <v>224.48127754999999</v>
      </c>
      <c r="I30" s="359">
        <v>197.0664070406946</v>
      </c>
      <c r="J30" s="276">
        <f t="shared" si="1"/>
        <v>-0.12212542091934198</v>
      </c>
      <c r="K30" s="9"/>
    </row>
    <row r="31" spans="2:19" s="1" customFormat="1" ht="13.5" thickBot="1">
      <c r="B31" s="8"/>
      <c r="C31" s="271" t="s">
        <v>64</v>
      </c>
      <c r="D31" s="272"/>
      <c r="E31" s="158">
        <v>171.48602056291713</v>
      </c>
      <c r="F31" s="328">
        <v>133.89244473217605</v>
      </c>
      <c r="G31" s="159">
        <f t="shared" si="0"/>
        <v>-0.21922239321512649</v>
      </c>
      <c r="H31" s="235">
        <v>824.91501621546342</v>
      </c>
      <c r="I31" s="328">
        <v>754.52951976348288</v>
      </c>
      <c r="J31" s="301">
        <f t="shared" si="1"/>
        <v>-8.5324542611546095E-2</v>
      </c>
      <c r="K31" s="9"/>
    </row>
    <row r="32" spans="2:19" s="1" customFormat="1" ht="14.25" thickTop="1" thickBot="1">
      <c r="B32" s="8"/>
      <c r="C32" s="373" t="s">
        <v>106</v>
      </c>
      <c r="D32" s="374"/>
      <c r="E32" s="190">
        <f>SUM(E25,E29)</f>
        <v>4852.4704251435951</v>
      </c>
      <c r="F32" s="361">
        <f>SUM(F25,F29)</f>
        <v>3633.1562468906513</v>
      </c>
      <c r="G32" s="191">
        <f t="shared" si="0"/>
        <v>-0.25127699324759134</v>
      </c>
      <c r="H32" s="236">
        <f>SUM(H25,H29)</f>
        <v>23802.044774574202</v>
      </c>
      <c r="I32" s="361">
        <f>SUM(I25,I29)</f>
        <v>20959.735722320314</v>
      </c>
      <c r="J32" s="191">
        <f t="shared" si="1"/>
        <v>-0.11941449061091158</v>
      </c>
      <c r="K32" s="9"/>
    </row>
    <row r="33" spans="2:19" s="1" customFormat="1">
      <c r="B33" s="8"/>
      <c r="C33" s="312" t="s">
        <v>103</v>
      </c>
      <c r="D33" s="160"/>
      <c r="E33" s="160"/>
      <c r="F33" s="161"/>
      <c r="G33" s="129"/>
      <c r="H33" s="160"/>
      <c r="I33" s="160"/>
      <c r="J33" s="129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116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7"/>
      <c r="D38" s="148"/>
      <c r="E38" s="383" t="s">
        <v>125</v>
      </c>
      <c r="F38" s="384"/>
      <c r="G38" s="385" t="s">
        <v>74</v>
      </c>
      <c r="H38" s="387" t="s">
        <v>126</v>
      </c>
      <c r="I38" s="388"/>
      <c r="J38" s="385" t="s">
        <v>74</v>
      </c>
      <c r="K38" s="9"/>
      <c r="Q38" s="144"/>
      <c r="R38" s="144">
        <v>2019</v>
      </c>
      <c r="S38" s="144">
        <v>2020</v>
      </c>
    </row>
    <row r="39" spans="2:19" s="1" customFormat="1" ht="12.75" customHeight="1">
      <c r="B39" s="8"/>
      <c r="C39" s="150" t="s">
        <v>75</v>
      </c>
      <c r="D39" s="151"/>
      <c r="E39" s="152">
        <v>2019</v>
      </c>
      <c r="F39" s="357">
        <v>2020</v>
      </c>
      <c r="G39" s="386"/>
      <c r="H39" s="237">
        <v>2019</v>
      </c>
      <c r="I39" s="362">
        <v>2020</v>
      </c>
      <c r="J39" s="386"/>
      <c r="K39" s="9"/>
      <c r="Q39" s="144" t="s">
        <v>66</v>
      </c>
      <c r="R39" s="145">
        <f>SUM(E41,E46)</f>
        <v>2901.9022677683688</v>
      </c>
      <c r="S39" s="145">
        <f>SUM(F41,F46)</f>
        <v>2839.646930583066</v>
      </c>
    </row>
    <row r="40" spans="2:19" s="1" customFormat="1">
      <c r="B40" s="8"/>
      <c r="C40" s="378" t="s">
        <v>68</v>
      </c>
      <c r="D40" s="379"/>
      <c r="E40" s="188">
        <f>SUM(E41:E44)</f>
        <v>4630.9651012899994</v>
      </c>
      <c r="F40" s="358">
        <f>SUM(F41:F44)</f>
        <v>3466.0310595336814</v>
      </c>
      <c r="G40" s="189">
        <f>((F40/E40)-1)</f>
        <v>-0.25155318951373973</v>
      </c>
      <c r="H40" s="233">
        <f>SUM(H41:H44)</f>
        <v>22732.537726961138</v>
      </c>
      <c r="I40" s="358">
        <f>SUM(I41:I44)</f>
        <v>20014.511768413977</v>
      </c>
      <c r="J40" s="189">
        <f>((I40/H40)-1)</f>
        <v>-0.11956544364703903</v>
      </c>
      <c r="K40" s="9"/>
      <c r="Q40" s="144" t="s">
        <v>65</v>
      </c>
      <c r="R40" s="145">
        <f>SUM(E42,E47)</f>
        <v>1750.4945786602261</v>
      </c>
      <c r="S40" s="145">
        <f>SUM(F42,F47)</f>
        <v>603.97522427758508</v>
      </c>
    </row>
    <row r="41" spans="2:19" s="1" customFormat="1">
      <c r="B41" s="8"/>
      <c r="C41" s="154" t="s">
        <v>66</v>
      </c>
      <c r="D41" s="130"/>
      <c r="E41" s="155">
        <v>2835.6945127200006</v>
      </c>
      <c r="F41" s="359">
        <f>D12</f>
        <v>2789.6764995633321</v>
      </c>
      <c r="G41" s="276">
        <f t="shared" ref="G41:G48" si="2">((F41/E41)-1)</f>
        <v>-1.6228127871407372E-2</v>
      </c>
      <c r="H41" s="234">
        <v>14754.57962856114</v>
      </c>
      <c r="I41" s="359">
        <v>15100.428639441125</v>
      </c>
      <c r="J41" s="276">
        <f t="shared" ref="J41:J48" si="3">((I41/H41)-1)</f>
        <v>2.3440112804739455E-2</v>
      </c>
      <c r="K41" s="9"/>
      <c r="Q41" s="144" t="s">
        <v>67</v>
      </c>
      <c r="R41" s="145">
        <f>E43</f>
        <v>142.6506239</v>
      </c>
      <c r="S41" s="145">
        <f>F43</f>
        <v>130.60630392500005</v>
      </c>
    </row>
    <row r="42" spans="2:19" s="1" customFormat="1">
      <c r="B42" s="8"/>
      <c r="C42" s="154" t="s">
        <v>65</v>
      </c>
      <c r="D42" s="130"/>
      <c r="E42" s="155">
        <v>1595.1970098549994</v>
      </c>
      <c r="F42" s="359">
        <f>D13</f>
        <v>486.82046794034898</v>
      </c>
      <c r="G42" s="276">
        <f t="shared" si="2"/>
        <v>-0.69482110050808077</v>
      </c>
      <c r="H42" s="234">
        <v>7041.6129547799992</v>
      </c>
      <c r="I42" s="359">
        <v>3978.8656968878495</v>
      </c>
      <c r="J42" s="276">
        <f t="shared" si="3"/>
        <v>-0.43494967382623473</v>
      </c>
      <c r="K42" s="9"/>
      <c r="Q42" s="144" t="s">
        <v>5</v>
      </c>
      <c r="R42" s="145">
        <f>E44</f>
        <v>57.422954814999997</v>
      </c>
      <c r="S42" s="145">
        <f>F44</f>
        <v>58.927788105000005</v>
      </c>
    </row>
    <row r="43" spans="2:19" s="1" customFormat="1">
      <c r="B43" s="8"/>
      <c r="C43" s="154" t="s">
        <v>67</v>
      </c>
      <c r="D43" s="130"/>
      <c r="E43" s="155">
        <v>142.6506239</v>
      </c>
      <c r="F43" s="359">
        <f>D14</f>
        <v>130.60630392500005</v>
      </c>
      <c r="G43" s="276">
        <f t="shared" si="2"/>
        <v>-8.4432297915802867E-2</v>
      </c>
      <c r="H43" s="234">
        <v>647.84913234499993</v>
      </c>
      <c r="I43" s="359">
        <v>639.62172728500002</v>
      </c>
      <c r="J43" s="276">
        <f t="shared" si="3"/>
        <v>-1.2699569466458116E-2</v>
      </c>
      <c r="K43" s="9"/>
    </row>
    <row r="44" spans="2:19" s="1" customFormat="1">
      <c r="B44" s="8"/>
      <c r="C44" s="154" t="s">
        <v>5</v>
      </c>
      <c r="D44" s="130"/>
      <c r="E44" s="155">
        <v>57.422954814999997</v>
      </c>
      <c r="F44" s="359">
        <f>D15</f>
        <v>58.927788105000005</v>
      </c>
      <c r="G44" s="93">
        <f t="shared" si="2"/>
        <v>2.6206127755844966E-2</v>
      </c>
      <c r="H44" s="234">
        <v>288.496011275</v>
      </c>
      <c r="I44" s="359">
        <v>295.59570480000002</v>
      </c>
      <c r="J44" s="156">
        <f t="shared" si="3"/>
        <v>2.4609329930154411E-2</v>
      </c>
      <c r="K44" s="9"/>
      <c r="Q44" s="144"/>
      <c r="R44" s="144"/>
      <c r="S44" s="144"/>
    </row>
    <row r="45" spans="2:19" s="1" customFormat="1">
      <c r="B45" s="8"/>
      <c r="C45" s="378" t="s">
        <v>64</v>
      </c>
      <c r="D45" s="379"/>
      <c r="E45" s="188">
        <f>SUM(E46:E47)</f>
        <v>221.5053238535952</v>
      </c>
      <c r="F45" s="358">
        <f>SUM(F46:F47)</f>
        <v>167.12518735697029</v>
      </c>
      <c r="G45" s="189">
        <f t="shared" si="2"/>
        <v>-0.2455026161473558</v>
      </c>
      <c r="H45" s="233">
        <f>SUM(H46:H47)</f>
        <v>1069.5070476130709</v>
      </c>
      <c r="I45" s="358">
        <f>SUM(I46:I47)</f>
        <v>945.22395390634074</v>
      </c>
      <c r="J45" s="189">
        <f t="shared" si="3"/>
        <v>-0.11620596047880705</v>
      </c>
      <c r="K45" s="9"/>
    </row>
    <row r="46" spans="2:19" s="1" customFormat="1">
      <c r="B46" s="8"/>
      <c r="C46" s="154" t="s">
        <v>66</v>
      </c>
      <c r="D46" s="130"/>
      <c r="E46" s="155">
        <v>66.207755048368355</v>
      </c>
      <c r="F46" s="359">
        <f>E12</f>
        <v>49.970431019734114</v>
      </c>
      <c r="G46" s="156">
        <f t="shared" si="2"/>
        <v>-0.24524806824777545</v>
      </c>
      <c r="H46" s="234">
        <v>334.49790145783243</v>
      </c>
      <c r="I46" s="359">
        <v>283.19193742632223</v>
      </c>
      <c r="J46" s="156">
        <f t="shared" si="3"/>
        <v>-0.15338202065814144</v>
      </c>
      <c r="K46" s="9"/>
    </row>
    <row r="47" spans="2:19" s="1" customFormat="1" ht="13.5" thickBot="1">
      <c r="B47" s="8"/>
      <c r="C47" s="157" t="s">
        <v>65</v>
      </c>
      <c r="D47" s="130"/>
      <c r="E47" s="158">
        <v>155.29756880522686</v>
      </c>
      <c r="F47" s="328">
        <f>E13</f>
        <v>117.15475633723617</v>
      </c>
      <c r="G47" s="301">
        <f t="shared" si="2"/>
        <v>-0.24561113713138127</v>
      </c>
      <c r="H47" s="235">
        <v>735.00914615523857</v>
      </c>
      <c r="I47" s="328">
        <v>662.03201648001846</v>
      </c>
      <c r="J47" s="159">
        <f t="shared" si="3"/>
        <v>-9.9287376295868368E-2</v>
      </c>
      <c r="K47" s="9"/>
    </row>
    <row r="48" spans="2:19" s="1" customFormat="1" ht="14.25" thickTop="1" thickBot="1">
      <c r="B48" s="8"/>
      <c r="C48" s="373" t="s">
        <v>106</v>
      </c>
      <c r="D48" s="374"/>
      <c r="E48" s="190">
        <f>SUM(E40,E45)</f>
        <v>4852.4704251435942</v>
      </c>
      <c r="F48" s="361">
        <f>SUM(F40,F45)</f>
        <v>3633.1562468906518</v>
      </c>
      <c r="G48" s="191">
        <f t="shared" si="2"/>
        <v>-0.25127699324759112</v>
      </c>
      <c r="H48" s="236">
        <f>SUM(H40,H45)</f>
        <v>23802.044774574209</v>
      </c>
      <c r="I48" s="361">
        <f>SUM(I40,I45)</f>
        <v>20959.735722320318</v>
      </c>
      <c r="J48" s="191">
        <f t="shared" si="3"/>
        <v>-0.11941449061091169</v>
      </c>
      <c r="K48" s="9"/>
    </row>
    <row r="49" spans="2:23" s="1" customFormat="1">
      <c r="B49" s="8"/>
      <c r="C49" s="263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121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8"/>
    </row>
    <row r="53" spans="2:23" s="1" customFormat="1" ht="13.5" thickBot="1">
      <c r="B53" s="8"/>
      <c r="C53" s="10"/>
      <c r="H53" s="9"/>
      <c r="I53" s="9"/>
      <c r="J53" s="9"/>
      <c r="K53" s="9"/>
      <c r="L53" s="258"/>
      <c r="M53" s="258"/>
    </row>
    <row r="54" spans="2:23" s="1" customFormat="1" ht="12.75" customHeight="1">
      <c r="B54" s="8"/>
      <c r="C54" s="147"/>
      <c r="D54" s="148"/>
      <c r="E54" s="383" t="s">
        <v>125</v>
      </c>
      <c r="F54" s="384"/>
      <c r="G54" s="385" t="s">
        <v>74</v>
      </c>
      <c r="H54" s="387" t="s">
        <v>126</v>
      </c>
      <c r="I54" s="388"/>
      <c r="J54" s="385" t="s">
        <v>74</v>
      </c>
      <c r="K54" s="9"/>
      <c r="L54" s="258"/>
      <c r="M54" s="258"/>
    </row>
    <row r="55" spans="2:23" s="1" customFormat="1" ht="12.75" customHeight="1">
      <c r="B55" s="8"/>
      <c r="C55" s="150" t="s">
        <v>75</v>
      </c>
      <c r="D55" s="151"/>
      <c r="E55" s="152">
        <v>2019</v>
      </c>
      <c r="F55" s="357">
        <v>2020</v>
      </c>
      <c r="G55" s="386"/>
      <c r="H55" s="237">
        <v>2019</v>
      </c>
      <c r="I55" s="362">
        <v>2020</v>
      </c>
      <c r="J55" s="386"/>
      <c r="K55" s="9"/>
      <c r="L55" s="258"/>
      <c r="M55" s="258"/>
    </row>
    <row r="56" spans="2:23" s="1" customFormat="1">
      <c r="B56" s="8"/>
      <c r="C56" s="378" t="s">
        <v>68</v>
      </c>
      <c r="D56" s="379"/>
      <c r="E56" s="188">
        <f>SUM(E57:E60)</f>
        <v>4630.9651012899994</v>
      </c>
      <c r="F56" s="358">
        <f>SUM(F57:F60)</f>
        <v>3466.0310595336809</v>
      </c>
      <c r="G56" s="189">
        <f>((F56/E56)-1)</f>
        <v>-0.25155318951373984</v>
      </c>
      <c r="H56" s="233">
        <f>SUM(H57:H60)</f>
        <v>22732.537726961138</v>
      </c>
      <c r="I56" s="358">
        <f>SUM(I57:I60)</f>
        <v>20014.511768413973</v>
      </c>
      <c r="J56" s="189">
        <f>((I56/H56)-1)</f>
        <v>-0.11956544364703925</v>
      </c>
      <c r="K56" s="9"/>
    </row>
    <row r="57" spans="2:23" s="1" customFormat="1" ht="25.5">
      <c r="B57" s="8"/>
      <c r="C57" s="376" t="s">
        <v>78</v>
      </c>
      <c r="D57" s="278" t="s">
        <v>79</v>
      </c>
      <c r="E57" s="325">
        <f>SUM(E43:E44)+27.6491907425</f>
        <v>227.72276945749999</v>
      </c>
      <c r="F57" s="363">
        <f>SUM(F43:F44)+24.3410233970174</f>
        <v>213.87511542701748</v>
      </c>
      <c r="G57" s="166">
        <f t="shared" ref="G57:G65" si="4">((F57/E57)-1)</f>
        <v>-6.0809264104206839E-2</v>
      </c>
      <c r="H57" s="326">
        <f>SUM(H43:H44)+114.746768</f>
        <v>1051.09191162</v>
      </c>
      <c r="I57" s="363">
        <f>SUM(I43:I44)+110.279430737017</f>
        <v>1045.496862822017</v>
      </c>
      <c r="J57" s="166">
        <f t="shared" ref="J57:J65" si="5">((I57/H57)-1)</f>
        <v>-5.3230823452533604E-3</v>
      </c>
      <c r="K57" s="9"/>
      <c r="L57" s="258"/>
      <c r="Q57" s="144"/>
      <c r="R57" s="144"/>
      <c r="T57" s="144">
        <v>2019</v>
      </c>
      <c r="U57" s="144">
        <v>2020</v>
      </c>
      <c r="V57" s="144"/>
      <c r="W57" s="144"/>
    </row>
    <row r="58" spans="2:23" s="1" customFormat="1" ht="13.5">
      <c r="B58" s="8"/>
      <c r="C58" s="377"/>
      <c r="D58" s="279" t="s">
        <v>108</v>
      </c>
      <c r="E58" s="268">
        <v>174.75469050250007</v>
      </c>
      <c r="F58" s="364">
        <v>205.34114510749987</v>
      </c>
      <c r="G58" s="277">
        <f t="shared" si="4"/>
        <v>0.17502508526122917</v>
      </c>
      <c r="H58" s="269">
        <v>821.22200949999979</v>
      </c>
      <c r="I58" s="360">
        <v>1126.94391636</v>
      </c>
      <c r="J58" s="277">
        <f t="shared" si="5"/>
        <v>0.37227680617831793</v>
      </c>
      <c r="K58" s="9"/>
      <c r="L58" s="258"/>
      <c r="M58" s="258"/>
      <c r="Q58" s="382" t="s">
        <v>80</v>
      </c>
      <c r="R58" s="144" t="s">
        <v>66</v>
      </c>
      <c r="T58" s="145">
        <f>SUM(E60,E64)</f>
        <v>2727.1475772658687</v>
      </c>
      <c r="U58" s="145">
        <f>SUM(F60,F64)</f>
        <v>2634.3057854755662</v>
      </c>
      <c r="V58" s="146">
        <f t="shared" ref="V58:W61" si="6">T58/T$64</f>
        <v>0.56201219962822679</v>
      </c>
      <c r="W58" s="146">
        <f t="shared" si="6"/>
        <v>0.72507362922529772</v>
      </c>
    </row>
    <row r="59" spans="2:23" s="1" customFormat="1">
      <c r="B59" s="8"/>
      <c r="C59" s="375" t="s">
        <v>80</v>
      </c>
      <c r="D59" s="280" t="s">
        <v>81</v>
      </c>
      <c r="E59" s="155">
        <f>SUM(E42:E44)-E57</f>
        <v>1567.5478191124994</v>
      </c>
      <c r="F59" s="359">
        <f>SUM(F42:F44)-F57</f>
        <v>462.47944454333151</v>
      </c>
      <c r="G59" s="276">
        <f t="shared" si="4"/>
        <v>-0.70496629263586097</v>
      </c>
      <c r="H59" s="234">
        <f>SUM(H42:H44)-H57</f>
        <v>6926.8661867799983</v>
      </c>
      <c r="I59" s="359">
        <f>SUM(I42:I44)-I57</f>
        <v>3868.5862661508327</v>
      </c>
      <c r="J59" s="276">
        <f t="shared" si="5"/>
        <v>-0.44150988891137055</v>
      </c>
      <c r="K59" s="9"/>
      <c r="Q59" s="382"/>
      <c r="R59" s="144" t="s">
        <v>65</v>
      </c>
      <c r="T59" s="145">
        <f>SUM(E59,E63)</f>
        <v>1709.6237732177262</v>
      </c>
      <c r="U59" s="145">
        <f>SUM(F59,F63)</f>
        <v>566.62689365644042</v>
      </c>
      <c r="V59" s="146">
        <f t="shared" si="6"/>
        <v>0.35232028707668728</v>
      </c>
      <c r="W59" s="146">
        <f t="shared" si="6"/>
        <v>0.15595995744509319</v>
      </c>
    </row>
    <row r="60" spans="2:23" s="1" customFormat="1">
      <c r="B60" s="8"/>
      <c r="C60" s="375"/>
      <c r="D60" s="281" t="s">
        <v>41</v>
      </c>
      <c r="E60" s="155">
        <f>E41-E58</f>
        <v>2660.9398222175005</v>
      </c>
      <c r="F60" s="359">
        <f>F41-F58</f>
        <v>2584.3353544558322</v>
      </c>
      <c r="G60" s="156">
        <f t="shared" si="4"/>
        <v>-2.8788500635023695E-2</v>
      </c>
      <c r="H60" s="234">
        <f>H41-H58</f>
        <v>13933.35761906114</v>
      </c>
      <c r="I60" s="359">
        <f>I41-I58</f>
        <v>13973.484723081125</v>
      </c>
      <c r="J60" s="276">
        <f t="shared" si="5"/>
        <v>2.8799306755098453E-3</v>
      </c>
      <c r="K60" s="9"/>
      <c r="Q60" s="382" t="s">
        <v>78</v>
      </c>
      <c r="R60" s="144" t="s">
        <v>66</v>
      </c>
      <c r="T60" s="145">
        <f>E58</f>
        <v>174.75469050250007</v>
      </c>
      <c r="U60" s="145">
        <f>F58</f>
        <v>205.34114510749987</v>
      </c>
      <c r="V60" s="146">
        <f t="shared" si="6"/>
        <v>3.6013550870292774E-2</v>
      </c>
      <c r="W60" s="146">
        <f t="shared" si="6"/>
        <v>5.6518666182671373E-2</v>
      </c>
    </row>
    <row r="61" spans="2:23" s="1" customFormat="1">
      <c r="B61" s="8"/>
      <c r="C61" s="378" t="s">
        <v>64</v>
      </c>
      <c r="D61" s="379"/>
      <c r="E61" s="188">
        <f>SUM(E62:E64)</f>
        <v>221.5053238535952</v>
      </c>
      <c r="F61" s="358">
        <f>SUM(F62:F64)</f>
        <v>167.12518735697029</v>
      </c>
      <c r="G61" s="189">
        <f t="shared" si="4"/>
        <v>-0.2455026161473558</v>
      </c>
      <c r="H61" s="233">
        <f>SUM(H62:H64)</f>
        <v>1069.5070476130709</v>
      </c>
      <c r="I61" s="358">
        <f>SUM(I62:I64)</f>
        <v>945.22395390634074</v>
      </c>
      <c r="J61" s="189">
        <f t="shared" si="5"/>
        <v>-0.11620596047880705</v>
      </c>
      <c r="K61" s="9"/>
      <c r="Q61" s="382"/>
      <c r="R61" s="144" t="s">
        <v>89</v>
      </c>
      <c r="T61" s="145">
        <f>E57+E62</f>
        <v>240.9443841575</v>
      </c>
      <c r="U61" s="145">
        <f>F57+F62</f>
        <v>226.88242265114468</v>
      </c>
      <c r="V61" s="146">
        <f t="shared" si="6"/>
        <v>4.9653962424793127E-2</v>
      </c>
      <c r="W61" s="146">
        <f t="shared" si="6"/>
        <v>6.2447747146937745E-2</v>
      </c>
    </row>
    <row r="62" spans="2:23" s="1" customFormat="1">
      <c r="B62" s="8"/>
      <c r="C62" s="313" t="s">
        <v>78</v>
      </c>
      <c r="D62" s="314" t="s">
        <v>112</v>
      </c>
      <c r="E62" s="345">
        <v>13.221614699999989</v>
      </c>
      <c r="F62" s="365">
        <v>13.007307224127214</v>
      </c>
      <c r="G62" s="315">
        <f t="shared" si="4"/>
        <v>-1.6208873177402161E-2</v>
      </c>
      <c r="H62" s="327">
        <v>86.016246699999982</v>
      </c>
      <c r="I62" s="366">
        <v>74.042488264127215</v>
      </c>
      <c r="J62" s="315">
        <f t="shared" si="5"/>
        <v>-0.13920345161808567</v>
      </c>
      <c r="K62" s="9"/>
      <c r="Q62" s="144"/>
      <c r="R62" s="144"/>
      <c r="T62" s="144"/>
      <c r="U62" s="144"/>
      <c r="V62" s="144"/>
      <c r="W62" s="144"/>
    </row>
    <row r="63" spans="2:23" s="1" customFormat="1">
      <c r="B63" s="8"/>
      <c r="C63" s="380" t="s">
        <v>80</v>
      </c>
      <c r="D63" s="280" t="s">
        <v>81</v>
      </c>
      <c r="E63" s="155">
        <f>E47-E62</f>
        <v>142.07595410522686</v>
      </c>
      <c r="F63" s="359">
        <f>F47-F62</f>
        <v>104.14744911310895</v>
      </c>
      <c r="G63" s="276">
        <f t="shared" ref="G63" si="7">((F63/E63)-1)</f>
        <v>-0.26695935445928176</v>
      </c>
      <c r="H63" s="234">
        <f>H47-H62</f>
        <v>648.99289945523856</v>
      </c>
      <c r="I63" s="359">
        <f>I47-I62</f>
        <v>587.98952821589126</v>
      </c>
      <c r="J63" s="276">
        <f t="shared" ref="J63" si="8">((I63/H63)-1)</f>
        <v>-9.3996977918484492E-2</v>
      </c>
      <c r="K63" s="9"/>
      <c r="Q63" s="144"/>
      <c r="R63" s="144"/>
      <c r="T63" s="144"/>
      <c r="U63" s="144"/>
      <c r="V63" s="144"/>
      <c r="W63" s="144"/>
    </row>
    <row r="64" spans="2:23" s="1" customFormat="1" ht="13.5" thickBot="1">
      <c r="B64" s="8"/>
      <c r="C64" s="381"/>
      <c r="D64" s="282" t="s">
        <v>41</v>
      </c>
      <c r="E64" s="158">
        <f>E46</f>
        <v>66.207755048368355</v>
      </c>
      <c r="F64" s="328">
        <f>F46</f>
        <v>49.970431019734114</v>
      </c>
      <c r="G64" s="159">
        <f t="shared" si="4"/>
        <v>-0.24524806824777545</v>
      </c>
      <c r="H64" s="235">
        <f>H46</f>
        <v>334.49790145783243</v>
      </c>
      <c r="I64" s="328">
        <f>I46</f>
        <v>283.19193742632223</v>
      </c>
      <c r="J64" s="159">
        <f t="shared" si="5"/>
        <v>-0.15338202065814144</v>
      </c>
      <c r="K64" s="9"/>
      <c r="Q64" s="144"/>
      <c r="R64" s="144"/>
      <c r="T64" s="145">
        <f>SUM(T58:T61)</f>
        <v>4852.4704251435951</v>
      </c>
      <c r="U64" s="145">
        <f>SUM(U58:U61)</f>
        <v>3633.1562468906509</v>
      </c>
      <c r="V64" s="144"/>
      <c r="W64" s="144"/>
    </row>
    <row r="65" spans="2:22" s="1" customFormat="1" ht="14.25" thickTop="1" thickBot="1">
      <c r="B65" s="8"/>
      <c r="C65" s="373" t="s">
        <v>106</v>
      </c>
      <c r="D65" s="374"/>
      <c r="E65" s="190">
        <f>SUM(E56,E61)</f>
        <v>4852.4704251435942</v>
      </c>
      <c r="F65" s="361">
        <f>SUM(F56,F61)</f>
        <v>3633.1562468906513</v>
      </c>
      <c r="G65" s="191">
        <f t="shared" si="4"/>
        <v>-0.25127699324759123</v>
      </c>
      <c r="H65" s="236">
        <f>SUM(H56,H61)</f>
        <v>23802.044774574209</v>
      </c>
      <c r="I65" s="361">
        <f>SUM(I56,I61)</f>
        <v>20959.735722320314</v>
      </c>
      <c r="J65" s="191">
        <f t="shared" si="5"/>
        <v>-0.11941449061091181</v>
      </c>
      <c r="K65" s="9"/>
      <c r="Q65" s="144"/>
      <c r="R65" s="144"/>
      <c r="S65" s="144"/>
      <c r="T65" s="144"/>
      <c r="U65" s="144"/>
      <c r="V65" s="144"/>
    </row>
    <row r="66" spans="2:22" s="1" customFormat="1">
      <c r="B66" s="8"/>
      <c r="C66" s="263" t="s">
        <v>109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zoomScale="120" zoomScaleNormal="100" zoomScaleSheetLayoutView="120" workbookViewId="0">
      <selection activeCell="C3" sqref="C3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122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2839.646930583066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456.1097493652934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110.3022544807709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37.348330621144612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130.60630392500005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58.927788105000005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3">
        <f t="shared" si="0"/>
        <v>0.2148898103760977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3633.1562468906513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19"/>
      <c r="G23" s="262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117</v>
      </c>
      <c r="D24" s="9"/>
      <c r="E24" s="13"/>
      <c r="F24" s="13"/>
      <c r="G24" s="13"/>
      <c r="H24" s="26"/>
      <c r="I24" s="26"/>
      <c r="J24" s="302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29"/>
      <c r="D25" s="129"/>
      <c r="E25" s="162"/>
      <c r="F25" s="162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3" t="s">
        <v>61</v>
      </c>
      <c r="D26" s="397" t="s">
        <v>125</v>
      </c>
      <c r="E26" s="397"/>
      <c r="F26" s="393" t="s">
        <v>74</v>
      </c>
      <c r="G26" s="391" t="s">
        <v>126</v>
      </c>
      <c r="H26" s="392"/>
      <c r="I26" s="393" t="s">
        <v>74</v>
      </c>
      <c r="J26" s="20"/>
      <c r="K26" s="54"/>
      <c r="L26" s="54"/>
      <c r="M26" s="55"/>
      <c r="N26" s="70">
        <v>2019</v>
      </c>
      <c r="O26" s="70">
        <v>2020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4"/>
      <c r="D27" s="95">
        <v>2019</v>
      </c>
      <c r="E27" s="96">
        <v>2020</v>
      </c>
      <c r="F27" s="394"/>
      <c r="G27" s="238">
        <v>2019</v>
      </c>
      <c r="H27" s="96">
        <v>2020</v>
      </c>
      <c r="I27" s="394"/>
      <c r="J27" s="20"/>
      <c r="K27" s="54"/>
      <c r="L27" s="54"/>
      <c r="M27" s="55" t="s">
        <v>85</v>
      </c>
      <c r="N27" s="70">
        <f t="shared" ref="N27:O29" si="1">D28</f>
        <v>2901.9022677683688</v>
      </c>
      <c r="O27" s="70">
        <f t="shared" si="1"/>
        <v>2839.646930583066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3" t="s">
        <v>85</v>
      </c>
      <c r="D28" s="164">
        <f>'Resumen (G)'!E41+'Resumen (G)'!E46</f>
        <v>2901.9022677683688</v>
      </c>
      <c r="E28" s="165">
        <f>'Resumen (G)'!F41+'Resumen (G)'!F46</f>
        <v>2839.646930583066</v>
      </c>
      <c r="F28" s="166">
        <f>+E28/D28-1</f>
        <v>-2.1453285273173139E-2</v>
      </c>
      <c r="G28" s="252">
        <f>'Resumen (G)'!H41+'Resumen (G)'!H46</f>
        <v>15089.077530018973</v>
      </c>
      <c r="H28" s="165">
        <f>'Resumen (G)'!I41+'Resumen (G)'!I46</f>
        <v>15383.620576867446</v>
      </c>
      <c r="I28" s="166">
        <f>+H28/G28-1</f>
        <v>1.9520281890161639E-2</v>
      </c>
      <c r="J28" s="302"/>
      <c r="K28" s="54"/>
      <c r="L28" s="54"/>
      <c r="M28" s="55" t="s">
        <v>2</v>
      </c>
      <c r="N28" s="70">
        <f t="shared" si="1"/>
        <v>1533.7226464824996</v>
      </c>
      <c r="O28" s="70">
        <f t="shared" si="1"/>
        <v>456.1097493652934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7" t="s">
        <v>2</v>
      </c>
      <c r="D29" s="168">
        <v>1533.7226464824996</v>
      </c>
      <c r="E29" s="169">
        <v>456.1097493652934</v>
      </c>
      <c r="F29" s="170">
        <f t="shared" ref="F29:F35" si="2">+E29/D29-1</f>
        <v>-0.70261262659754453</v>
      </c>
      <c r="G29" s="253">
        <v>6895.3313491725003</v>
      </c>
      <c r="H29" s="169">
        <v>3957.9468764077928</v>
      </c>
      <c r="I29" s="170">
        <f t="shared" ref="I29:I35" si="3">+H29/G29-1</f>
        <v>-0.42599613042775952</v>
      </c>
      <c r="J29" s="260"/>
      <c r="K29" s="261"/>
      <c r="L29" s="54"/>
      <c r="M29" s="55" t="s">
        <v>84</v>
      </c>
      <c r="N29" s="70">
        <f t="shared" si="1"/>
        <v>175.52112673522697</v>
      </c>
      <c r="O29" s="70">
        <f t="shared" si="1"/>
        <v>110.3022544807709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7" t="s">
        <v>3</v>
      </c>
      <c r="D30" s="168">
        <f>'Resumen (G)'!E32-SUM('TipoRecurso (G)'!D28:D29,'TipoRecurso (G)'!D31:D34)</f>
        <v>175.52112673522697</v>
      </c>
      <c r="E30" s="169">
        <f>'Resumen (G)'!F32-SUM('TipoRecurso (G)'!E28:E29,'TipoRecurso (G)'!E31:E34)</f>
        <v>110.3022544807709</v>
      </c>
      <c r="F30" s="170">
        <f t="shared" si="2"/>
        <v>-0.37157277569690239</v>
      </c>
      <c r="G30" s="253">
        <f>'Resumen (G)'!H32-SUM('TipoRecurso (G)'!G28:G29,'TipoRecurso (G)'!G31:G34)</f>
        <v>678.60983536272761</v>
      </c>
      <c r="H30" s="169">
        <f>'Resumen (G)'!I32-SUM('TipoRecurso (G)'!H28:H29,'TipoRecurso (G)'!H31:H34)</f>
        <v>497.40102814855345</v>
      </c>
      <c r="I30" s="170">
        <f t="shared" si="3"/>
        <v>-0.267029444271634</v>
      </c>
      <c r="J30" s="302"/>
      <c r="K30" s="54"/>
      <c r="L30" s="54"/>
      <c r="M30" s="55" t="s">
        <v>4</v>
      </c>
      <c r="N30" s="99">
        <f>D34</f>
        <v>0.38</v>
      </c>
      <c r="O30" s="99">
        <f>E34</f>
        <v>0.2148898103760977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7" t="s">
        <v>6</v>
      </c>
      <c r="D31" s="168">
        <f>'Resumen (G)'!E57+'Resumen (G)'!E62-SUM('TipoRecurso (G)'!D32:D33)</f>
        <v>40.8708054425</v>
      </c>
      <c r="E31" s="169">
        <f>'Resumen (G)'!F57+'Resumen (G)'!F62-SUM('TipoRecurso (G)'!E32:E33)</f>
        <v>37.348330621144612</v>
      </c>
      <c r="F31" s="170">
        <f t="shared" si="2"/>
        <v>-8.6185598331578239E-2</v>
      </c>
      <c r="G31" s="253">
        <f>'Resumen (G)'!H57+'Resumen (G)'!H62-SUM('TipoRecurso (G)'!G32:G33)</f>
        <v>200.7630147000001</v>
      </c>
      <c r="H31" s="169">
        <f>'Resumen (G)'!I57+'Resumen (G)'!I62-SUM('TipoRecurso (G)'!H32:H33)</f>
        <v>184.32191900114424</v>
      </c>
      <c r="I31" s="170">
        <f t="shared" si="3"/>
        <v>-8.189305048753015E-2</v>
      </c>
      <c r="J31" s="20"/>
      <c r="K31" s="54"/>
      <c r="L31" s="54"/>
      <c r="M31" s="55" t="s">
        <v>90</v>
      </c>
      <c r="N31" s="70">
        <f t="shared" ref="N31:O33" si="4">D31</f>
        <v>40.8708054425</v>
      </c>
      <c r="O31" s="70">
        <f t="shared" si="4"/>
        <v>37.348330621144612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7" t="s">
        <v>14</v>
      </c>
      <c r="D32" s="168">
        <f>'Resumen (G)'!E43</f>
        <v>142.6506239</v>
      </c>
      <c r="E32" s="169">
        <f>'Resumen (G)'!F43</f>
        <v>130.60630392500005</v>
      </c>
      <c r="F32" s="170">
        <f t="shared" si="2"/>
        <v>-8.4432297915802867E-2</v>
      </c>
      <c r="G32" s="253">
        <f>'Resumen (G)'!H43</f>
        <v>647.84913234499993</v>
      </c>
      <c r="H32" s="169">
        <f>'Resumen (G)'!I43</f>
        <v>639.62172728500002</v>
      </c>
      <c r="I32" s="170">
        <f t="shared" si="3"/>
        <v>-1.2699569466458116E-2</v>
      </c>
      <c r="J32" s="20"/>
      <c r="K32" s="54"/>
      <c r="L32" s="54"/>
      <c r="M32" s="55" t="s">
        <v>14</v>
      </c>
      <c r="N32" s="70">
        <f t="shared" si="4"/>
        <v>142.6506239</v>
      </c>
      <c r="O32" s="70">
        <f t="shared" si="4"/>
        <v>130.60630392500005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7" t="s">
        <v>5</v>
      </c>
      <c r="D33" s="168">
        <f>'Resumen (G)'!E44</f>
        <v>57.422954814999997</v>
      </c>
      <c r="E33" s="169">
        <f>'Resumen (G)'!F44</f>
        <v>58.927788105000005</v>
      </c>
      <c r="F33" s="170">
        <f t="shared" si="2"/>
        <v>2.6206127755844966E-2</v>
      </c>
      <c r="G33" s="253">
        <f>'Resumen (G)'!H44</f>
        <v>288.496011275</v>
      </c>
      <c r="H33" s="169">
        <f>'Resumen (G)'!I44</f>
        <v>295.59570480000002</v>
      </c>
      <c r="I33" s="170">
        <f t="shared" si="3"/>
        <v>2.4609329930154411E-2</v>
      </c>
      <c r="J33" s="20"/>
      <c r="K33" s="54"/>
      <c r="L33" s="54"/>
      <c r="M33" s="55" t="s">
        <v>5</v>
      </c>
      <c r="N33" s="70">
        <f t="shared" si="4"/>
        <v>57.422954814999997</v>
      </c>
      <c r="O33" s="70">
        <f t="shared" si="4"/>
        <v>58.927788105000005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1" t="s">
        <v>4</v>
      </c>
      <c r="D34" s="172">
        <v>0.38</v>
      </c>
      <c r="E34" s="173">
        <v>0.2148898103760977</v>
      </c>
      <c r="F34" s="174">
        <f t="shared" si="2"/>
        <v>-0.43450049901026921</v>
      </c>
      <c r="G34" s="254">
        <v>1.9179016999999998</v>
      </c>
      <c r="H34" s="173">
        <v>1.2278898103760978</v>
      </c>
      <c r="I34" s="174">
        <f t="shared" si="3"/>
        <v>-0.35977437718726779</v>
      </c>
      <c r="J34" s="20"/>
      <c r="K34" s="54"/>
      <c r="L34" s="54"/>
      <c r="M34" s="97"/>
      <c r="N34" s="98">
        <f>SUM(N27:N33)</f>
        <v>4852.4704251435951</v>
      </c>
      <c r="O34" s="98">
        <f>SUM(O27:O33)</f>
        <v>3633.1562468906513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05" t="s">
        <v>106</v>
      </c>
      <c r="D35" s="306">
        <f>SUM(D28:D34)</f>
        <v>4852.4704251435951</v>
      </c>
      <c r="E35" s="307">
        <f>SUM(E28:E34)</f>
        <v>3633.1562468906513</v>
      </c>
      <c r="F35" s="308">
        <f t="shared" si="2"/>
        <v>-0.25127699324759134</v>
      </c>
      <c r="G35" s="309">
        <f>SUM(G28:G34)</f>
        <v>23802.044774574202</v>
      </c>
      <c r="H35" s="307">
        <f>SUM(H28:H34)</f>
        <v>20959.735722320314</v>
      </c>
      <c r="I35" s="310">
        <f t="shared" si="3"/>
        <v>-0.11941449061091158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5"/>
      <c r="D36" s="175"/>
      <c r="E36" s="176"/>
      <c r="F36" s="177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7"/>
      <c r="N39" s="227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7">
        <f t="shared" ref="M40:N46" si="5">N27/N$34</f>
        <v>0.59802575049851958</v>
      </c>
      <c r="N40" s="227">
        <f t="shared" si="5"/>
        <v>0.78159229540796904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7">
        <f t="shared" si="5"/>
        <v>0.31607047794363702</v>
      </c>
      <c r="N41" s="227">
        <f t="shared" si="5"/>
        <v>0.12554091219050759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7">
        <f t="shared" si="5"/>
        <v>3.6171498506357806E-2</v>
      </c>
      <c r="N42" s="227">
        <f t="shared" si="5"/>
        <v>3.0359898387296282E-2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7">
        <f t="shared" si="5"/>
        <v>7.8310626692537749E-5</v>
      </c>
      <c r="N43" s="227">
        <f t="shared" si="5"/>
        <v>5.9146867289290385E-5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7">
        <f t="shared" si="5"/>
        <v>8.4226799674498882E-3</v>
      </c>
      <c r="N44" s="227">
        <f t="shared" si="5"/>
        <v>1.0279858085681912E-2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7">
        <f t="shared" si="5"/>
        <v>2.9397525672869743E-2</v>
      </c>
      <c r="N45" s="227">
        <f t="shared" si="5"/>
        <v>3.5948441258692433E-2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7">
        <f t="shared" si="5"/>
        <v>1.1833756784473494E-2</v>
      </c>
      <c r="N46" s="227">
        <f t="shared" si="5"/>
        <v>1.6219447802563385E-2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7">
        <f>N34/N$34</f>
        <v>1</v>
      </c>
      <c r="N47" s="227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8">
        <f>SUM(M39:M46)</f>
        <v>1</v>
      </c>
      <c r="N49" s="228">
        <f>SUM(N39:N46)</f>
        <v>0.99999999999999978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118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95" t="s">
        <v>91</v>
      </c>
      <c r="D53" s="397" t="s">
        <v>125</v>
      </c>
      <c r="E53" s="397"/>
      <c r="F53" s="393" t="s">
        <v>74</v>
      </c>
      <c r="G53" s="391" t="s">
        <v>126</v>
      </c>
      <c r="H53" s="392"/>
      <c r="I53" s="393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96"/>
      <c r="D54" s="95">
        <v>2019</v>
      </c>
      <c r="E54" s="96">
        <v>2020</v>
      </c>
      <c r="F54" s="394"/>
      <c r="G54" s="238">
        <v>2019</v>
      </c>
      <c r="H54" s="96">
        <v>2020</v>
      </c>
      <c r="I54" s="394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8" t="s">
        <v>42</v>
      </c>
      <c r="D55" s="289">
        <f>SUM(D28:D30,D34)</f>
        <v>4611.5260409860957</v>
      </c>
      <c r="E55" s="290">
        <f>SUM(E28:E30,E34)</f>
        <v>3406.2738242395062</v>
      </c>
      <c r="F55" s="291">
        <f>+E55/D55-1</f>
        <v>-0.26135648070391615</v>
      </c>
      <c r="G55" s="292">
        <f>SUM(G28:G30,G34)</f>
        <v>22664.936616254199</v>
      </c>
      <c r="H55" s="290">
        <f>SUM(H28:H30,H34)</f>
        <v>19840.196371234168</v>
      </c>
      <c r="I55" s="291">
        <f>+H55/G55-1</f>
        <v>-0.12463040567226935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93" t="s">
        <v>123</v>
      </c>
      <c r="D56" s="294">
        <f>SUM(D31:D33)</f>
        <v>240.9443841575</v>
      </c>
      <c r="E56" s="295">
        <f>SUM(E31:E33)</f>
        <v>226.88242265114468</v>
      </c>
      <c r="F56" s="296">
        <f>+E56/D56-1</f>
        <v>-5.8361856224726671E-2</v>
      </c>
      <c r="G56" s="297">
        <f>SUM(G31:G33)</f>
        <v>1137.10815832</v>
      </c>
      <c r="H56" s="295">
        <f>SUM(H31:H33)</f>
        <v>1119.5393510861443</v>
      </c>
      <c r="I56" s="298">
        <f>+H56/G56-1</f>
        <v>-1.5450427565142477E-2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4852.470425143596</v>
      </c>
      <c r="E57" s="101">
        <f>SUM(E55:E56)</f>
        <v>3633.1562468906509</v>
      </c>
      <c r="F57" s="102">
        <f>+E57/D57-1</f>
        <v>-0.25127699324759156</v>
      </c>
      <c r="G57" s="255">
        <f>SUM(G55:G56)</f>
        <v>23802.044774574199</v>
      </c>
      <c r="H57" s="101">
        <f>SUM(H55:H56)</f>
        <v>20959.735722320311</v>
      </c>
      <c r="I57" s="102">
        <f>+H57/G57-1</f>
        <v>-0.11941449061091158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4" t="s">
        <v>8</v>
      </c>
      <c r="D58" s="103">
        <f>+D56/D57</f>
        <v>4.965396242479312E-2</v>
      </c>
      <c r="E58" s="104">
        <f>+E56/E57</f>
        <v>6.2447747146937745E-2</v>
      </c>
      <c r="F58" s="105"/>
      <c r="G58" s="256">
        <f>+G56/G57</f>
        <v>4.7773549251309735E-2</v>
      </c>
      <c r="H58" s="104">
        <f>+H56/H57</f>
        <v>5.3413810456299379E-2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4" t="s">
        <v>131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4611.5260409860957</v>
      </c>
      <c r="N63" s="76">
        <f>E55</f>
        <v>3406.2738242395062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240.9443841575</v>
      </c>
      <c r="N64" s="76">
        <f>E56</f>
        <v>226.88242265114468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4" t="s">
        <v>131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113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119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2019</v>
      </c>
      <c r="O75" s="55">
        <v>2020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0"/>
      <c r="D76" s="397" t="s">
        <v>125</v>
      </c>
      <c r="E76" s="397"/>
      <c r="F76" s="106" t="s">
        <v>74</v>
      </c>
      <c r="G76" s="391" t="s">
        <v>126</v>
      </c>
      <c r="H76" s="392"/>
      <c r="I76" s="225" t="s">
        <v>74</v>
      </c>
      <c r="J76" s="19"/>
      <c r="K76" s="57"/>
      <c r="L76" s="57"/>
      <c r="M76" s="55" t="s">
        <v>96</v>
      </c>
      <c r="N76" s="70">
        <f>D78</f>
        <v>59.610370557499998</v>
      </c>
      <c r="O76" s="70">
        <f>E78</f>
        <v>7.4813937500000011E-2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5" t="s">
        <v>95</v>
      </c>
      <c r="D77" s="126">
        <v>2019</v>
      </c>
      <c r="E77" s="230">
        <v>2020</v>
      </c>
      <c r="F77" s="107"/>
      <c r="G77" s="346">
        <v>2019</v>
      </c>
      <c r="H77" s="96">
        <v>2020</v>
      </c>
      <c r="I77" s="226"/>
      <c r="J77" s="19"/>
      <c r="K77" s="57"/>
      <c r="L77" s="57"/>
      <c r="M77" s="55" t="s">
        <v>97</v>
      </c>
      <c r="N77" s="70">
        <f>D79</f>
        <v>4571.3547307324998</v>
      </c>
      <c r="O77" s="70">
        <f>E79</f>
        <v>3465.9562455961814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2" t="s">
        <v>96</v>
      </c>
      <c r="D78" s="155">
        <v>59.610370557499998</v>
      </c>
      <c r="E78" s="372">
        <v>7.4813937500000011E-2</v>
      </c>
      <c r="F78" s="156">
        <f>((E78/D78)-1)</f>
        <v>-0.99874495097412896</v>
      </c>
      <c r="G78" s="234">
        <v>113.82738856</v>
      </c>
      <c r="H78" s="330">
        <v>14.617337442500004</v>
      </c>
      <c r="I78" s="156">
        <f>((H78/G78)-1)</f>
        <v>-0.87158330145828655</v>
      </c>
      <c r="J78" s="19"/>
      <c r="K78" s="259"/>
      <c r="L78" s="57"/>
    </row>
    <row r="79" spans="2:28" ht="16.5" customHeight="1" thickBot="1">
      <c r="C79" s="299" t="s">
        <v>97</v>
      </c>
      <c r="D79" s="158">
        <f>'Resumen (G)'!E40-D78</f>
        <v>4571.3547307324998</v>
      </c>
      <c r="E79" s="328">
        <f>'Resumen (G)'!F40-E78</f>
        <v>3465.9562455961814</v>
      </c>
      <c r="F79" s="159">
        <f>((E79/D79)-1)</f>
        <v>-0.24180982449357913</v>
      </c>
      <c r="G79" s="235">
        <f>'Resumen (G)'!H40-G78</f>
        <v>22618.710338401139</v>
      </c>
      <c r="H79" s="328">
        <f>'Resumen (G)'!I40-H78</f>
        <v>19999.894430971475</v>
      </c>
      <c r="I79" s="159">
        <f>((H79/G79)-1)</f>
        <v>-0.11578095604255312</v>
      </c>
      <c r="J79" s="19"/>
      <c r="K79" s="57"/>
      <c r="L79" s="57"/>
      <c r="M79" s="70"/>
      <c r="N79" s="70"/>
      <c r="O79" s="70"/>
    </row>
    <row r="80" spans="2:28" ht="14.25" thickTop="1" thickBot="1">
      <c r="C80" s="127" t="s">
        <v>94</v>
      </c>
      <c r="D80" s="229">
        <f>SUM(D78:D79)</f>
        <v>4630.9651012899994</v>
      </c>
      <c r="E80" s="329">
        <f>SUM(E78:E79)</f>
        <v>3466.0310595336814</v>
      </c>
      <c r="F80" s="128"/>
      <c r="G80" s="257">
        <f>SUM(G78:G79)</f>
        <v>22732.537726961138</v>
      </c>
      <c r="H80" s="329">
        <f>SUM(H78:H79)</f>
        <v>20014.511768413977</v>
      </c>
      <c r="I80" s="128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8"/>
  <sheetViews>
    <sheetView view="pageBreakPreview" topLeftCell="A28" zoomScale="70" zoomScaleNormal="100" zoomScaleSheetLayoutView="70" workbookViewId="0">
      <selection activeCell="C54" sqref="C54:H60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2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120</v>
      </c>
      <c r="D4" s="3"/>
      <c r="E4" s="23"/>
      <c r="F4" s="23"/>
      <c r="G4" s="23"/>
      <c r="H4" s="23"/>
      <c r="I4" s="23"/>
      <c r="J4" s="23"/>
    </row>
    <row r="6" spans="2:13">
      <c r="C6" s="10" t="s">
        <v>128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4" t="s">
        <v>44</v>
      </c>
      <c r="D8" s="405" t="s">
        <v>125</v>
      </c>
      <c r="E8" s="406"/>
      <c r="F8" s="393" t="s">
        <v>74</v>
      </c>
      <c r="G8" s="391" t="s">
        <v>126</v>
      </c>
      <c r="H8" s="392"/>
      <c r="I8" s="393" t="s">
        <v>74</v>
      </c>
      <c r="J8" s="26"/>
    </row>
    <row r="9" spans="2:13" s="1" customFormat="1" ht="13.5" customHeight="1">
      <c r="B9" s="19"/>
      <c r="C9" s="205"/>
      <c r="D9" s="110">
        <v>2019</v>
      </c>
      <c r="E9" s="96">
        <v>2020</v>
      </c>
      <c r="F9" s="394"/>
      <c r="G9" s="238">
        <v>2019</v>
      </c>
      <c r="H9" s="96">
        <v>2020</v>
      </c>
      <c r="I9" s="394"/>
      <c r="J9" s="26"/>
    </row>
    <row r="10" spans="2:13">
      <c r="C10" s="192" t="s">
        <v>10</v>
      </c>
      <c r="D10" s="193">
        <f>'Por Región (G)'!O8</f>
        <v>348.60866900313448</v>
      </c>
      <c r="E10" s="194">
        <f>'Por Región (G)'!P8</f>
        <v>313.20218623749997</v>
      </c>
      <c r="F10" s="195">
        <f>+E10/D10-1</f>
        <v>-0.10156512420325425</v>
      </c>
      <c r="G10" s="340">
        <f>'Por Región (G)'!Q8</f>
        <v>1565.6156919653279</v>
      </c>
      <c r="H10" s="194">
        <f>'Por Región (G)'!R8</f>
        <v>1472.3263709209666</v>
      </c>
      <c r="I10" s="195">
        <f>+H10/G10-1</f>
        <v>-5.958634773726279E-2</v>
      </c>
      <c r="J10" s="26"/>
      <c r="L10" s="144" t="s">
        <v>9</v>
      </c>
      <c r="M10" s="231">
        <f>E11</f>
        <v>2762.8560488750018</v>
      </c>
    </row>
    <row r="11" spans="2:13">
      <c r="C11" s="196" t="s">
        <v>9</v>
      </c>
      <c r="D11" s="197">
        <f>'Por Región (G)'!O9</f>
        <v>3829.142486293827</v>
      </c>
      <c r="E11" s="198">
        <f>'Por Región (G)'!P9</f>
        <v>2762.8560488750018</v>
      </c>
      <c r="F11" s="199">
        <f>+E11/D11-1</f>
        <v>-0.27846611643090591</v>
      </c>
      <c r="G11" s="341">
        <f>'Por Región (G)'!Q9</f>
        <v>18841.2618625992</v>
      </c>
      <c r="H11" s="198">
        <f>'Por Región (G)'!R9</f>
        <v>16335.864406260269</v>
      </c>
      <c r="I11" s="199">
        <f>+H11/G11-1</f>
        <v>-0.13297397353795415</v>
      </c>
      <c r="J11" s="26"/>
      <c r="L11" s="144" t="s">
        <v>12</v>
      </c>
      <c r="M11" s="231">
        <f>E12</f>
        <v>519.49501177815023</v>
      </c>
    </row>
    <row r="12" spans="2:13">
      <c r="C12" s="196" t="s">
        <v>12</v>
      </c>
      <c r="D12" s="197">
        <f>'Por Región (G)'!O10</f>
        <v>590.04455311330037</v>
      </c>
      <c r="E12" s="198">
        <f>'Por Región (G)'!P10</f>
        <v>519.49501177815023</v>
      </c>
      <c r="F12" s="199">
        <f>+E12/D12-1</f>
        <v>-0.11956646487609079</v>
      </c>
      <c r="G12" s="341">
        <f>'Por Región (G)'!Q10</f>
        <v>3056.9311113430122</v>
      </c>
      <c r="H12" s="198">
        <f>'Por Región (G)'!R10</f>
        <v>2873.5421713322567</v>
      </c>
      <c r="I12" s="199">
        <f>+H12/G12-1</f>
        <v>-5.9991191600711757E-2</v>
      </c>
      <c r="J12" s="26"/>
      <c r="L12" s="144" t="s">
        <v>10</v>
      </c>
      <c r="M12" s="231">
        <f>E10</f>
        <v>313.20218623749997</v>
      </c>
    </row>
    <row r="13" spans="2:13">
      <c r="C13" s="200" t="s">
        <v>11</v>
      </c>
      <c r="D13" s="201">
        <f>'Por Región (G)'!O11</f>
        <v>84.674716733333327</v>
      </c>
      <c r="E13" s="202">
        <f>'Por Región (G)'!P11</f>
        <v>37.603000000000002</v>
      </c>
      <c r="F13" s="203">
        <f>+E13/D13-1</f>
        <v>-0.55591230238864109</v>
      </c>
      <c r="G13" s="342">
        <f>'Por Región (G)'!Q11</f>
        <v>338.23610866666667</v>
      </c>
      <c r="H13" s="202">
        <f>'Por Región (G)'!R11</f>
        <v>278.00277380682132</v>
      </c>
      <c r="I13" s="203">
        <f>+H13/G13-1</f>
        <v>-0.17808073507375166</v>
      </c>
      <c r="J13" s="26"/>
      <c r="L13" s="144" t="s">
        <v>11</v>
      </c>
      <c r="M13" s="231">
        <f>E13</f>
        <v>37.603000000000002</v>
      </c>
    </row>
    <row r="14" spans="2:13" ht="13.5" thickBot="1">
      <c r="C14" s="206" t="s">
        <v>106</v>
      </c>
      <c r="D14" s="207">
        <f>SUM(D10:D13)</f>
        <v>4852.4704251435951</v>
      </c>
      <c r="E14" s="208">
        <f>SUM(E10:E13)</f>
        <v>3633.1562468906523</v>
      </c>
      <c r="F14" s="209">
        <f>+E14/D14-1</f>
        <v>-0.25127699324759112</v>
      </c>
      <c r="G14" s="343">
        <f>SUM(G10:G13)</f>
        <v>23802.044774574209</v>
      </c>
      <c r="H14" s="208">
        <f>SUM(H10:H13)</f>
        <v>20959.735722320314</v>
      </c>
      <c r="I14" s="209">
        <f>+H14/G14-1</f>
        <v>-0.11941449061091181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129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402" t="s">
        <v>93</v>
      </c>
      <c r="D18" s="402"/>
      <c r="E18" s="402"/>
      <c r="F18" s="402"/>
      <c r="G18" s="403" t="s">
        <v>105</v>
      </c>
      <c r="H18" s="404"/>
      <c r="I18" s="404"/>
      <c r="J18" s="404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36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5" thickBot="1">
      <c r="C53" s="210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8" t="s">
        <v>13</v>
      </c>
      <c r="D54" s="400" t="s">
        <v>130</v>
      </c>
      <c r="E54" s="401"/>
      <c r="F54" s="401"/>
      <c r="G54" s="401"/>
      <c r="H54" s="401"/>
      <c r="I54" s="19"/>
      <c r="J54" s="19"/>
    </row>
    <row r="55" spans="3:13">
      <c r="C55" s="399"/>
      <c r="D55" s="113" t="s">
        <v>14</v>
      </c>
      <c r="E55" s="350" t="s">
        <v>15</v>
      </c>
      <c r="F55" s="350" t="s">
        <v>5</v>
      </c>
      <c r="G55" s="114" t="s">
        <v>16</v>
      </c>
      <c r="H55" s="367" t="s">
        <v>71</v>
      </c>
      <c r="I55" s="19"/>
      <c r="J55" s="19"/>
    </row>
    <row r="56" spans="3:13">
      <c r="C56" s="211" t="s">
        <v>10</v>
      </c>
      <c r="D56" s="337">
        <f>'Resumen (G)'!F14-'PorZona (G)'!D58</f>
        <v>76.826227860000046</v>
      </c>
      <c r="E56" s="351">
        <v>143.22532386232945</v>
      </c>
      <c r="F56" s="351">
        <v>0</v>
      </c>
      <c r="G56" s="215">
        <v>93.150634515170481</v>
      </c>
      <c r="H56" s="368">
        <f>SUM(D56:G56)</f>
        <v>313.20218623749997</v>
      </c>
      <c r="I56" s="332"/>
      <c r="K56" s="311"/>
      <c r="L56" s="324"/>
      <c r="M56" s="324"/>
    </row>
    <row r="57" spans="3:13">
      <c r="C57" s="212" t="s">
        <v>9</v>
      </c>
      <c r="D57" s="338">
        <v>0</v>
      </c>
      <c r="E57" s="352">
        <v>2340.0253946340581</v>
      </c>
      <c r="F57" s="353">
        <v>6.463E-3</v>
      </c>
      <c r="G57" s="216">
        <v>422.82419124094349</v>
      </c>
      <c r="H57" s="369">
        <f>SUM(D57:G57)</f>
        <v>2762.8560488750018</v>
      </c>
      <c r="I57" s="332"/>
      <c r="K57" s="311"/>
      <c r="L57" s="324"/>
      <c r="M57" s="324"/>
    </row>
    <row r="58" spans="3:13">
      <c r="C58" s="212" t="s">
        <v>12</v>
      </c>
      <c r="D58" s="338">
        <v>53.780076065000003</v>
      </c>
      <c r="E58" s="352">
        <v>356.39621208667916</v>
      </c>
      <c r="F58" s="354">
        <f>'Resumen (G)'!D15-0.006463</f>
        <v>58.921325105000008</v>
      </c>
      <c r="G58" s="216">
        <v>50.397398521471075</v>
      </c>
      <c r="H58" s="369">
        <f>SUM(D58:G58)</f>
        <v>519.49501177815023</v>
      </c>
      <c r="I58" s="332"/>
      <c r="K58" s="311"/>
      <c r="L58" s="324"/>
      <c r="M58" s="324"/>
    </row>
    <row r="59" spans="3:13">
      <c r="C59" s="213" t="s">
        <v>11</v>
      </c>
      <c r="D59" s="339">
        <v>0</v>
      </c>
      <c r="E59" s="355">
        <v>0</v>
      </c>
      <c r="F59" s="355">
        <v>0</v>
      </c>
      <c r="G59" s="217">
        <f>E13</f>
        <v>37.603000000000002</v>
      </c>
      <c r="H59" s="370">
        <f>SUM(D59:G59)</f>
        <v>37.603000000000002</v>
      </c>
      <c r="I59" s="332"/>
      <c r="K59" s="19"/>
      <c r="L59" s="324"/>
      <c r="M59" s="324"/>
    </row>
    <row r="60" spans="3:13" ht="13.5" thickBot="1">
      <c r="C60" s="115" t="s">
        <v>106</v>
      </c>
      <c r="D60" s="218">
        <f>SUM(D56:D59)</f>
        <v>130.60630392500005</v>
      </c>
      <c r="E60" s="356">
        <f>SUM(E56:E59)</f>
        <v>2839.6469305830665</v>
      </c>
      <c r="F60" s="356">
        <f>SUM(F56:F59)</f>
        <v>58.927788105000005</v>
      </c>
      <c r="G60" s="219">
        <f>SUM(G56:G59)</f>
        <v>603.97522427758497</v>
      </c>
      <c r="H60" s="371">
        <f>SUM(H56:H59)</f>
        <v>3633.1562468906523</v>
      </c>
      <c r="I60" s="19"/>
      <c r="J60" s="19"/>
      <c r="M60" s="324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311"/>
      <c r="G63" s="19"/>
      <c r="H63" s="19"/>
      <c r="I63" s="19"/>
      <c r="J63" s="19"/>
    </row>
    <row r="64" spans="3:13">
      <c r="F64" s="311"/>
      <c r="H64" s="121"/>
    </row>
    <row r="65" spans="5:6">
      <c r="F65" s="311"/>
    </row>
    <row r="67" spans="5:6">
      <c r="E67" s="335"/>
    </row>
    <row r="68" spans="5:6">
      <c r="E68" s="121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="80" zoomScaleNormal="100" zoomScaleSheetLayoutView="80" workbookViewId="0">
      <selection activeCell="C6" sqref="C6:I3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8" t="s">
        <v>60</v>
      </c>
      <c r="D6" s="405" t="s">
        <v>125</v>
      </c>
      <c r="E6" s="406"/>
      <c r="F6" s="393" t="s">
        <v>74</v>
      </c>
      <c r="G6" s="391" t="s">
        <v>126</v>
      </c>
      <c r="H6" s="392"/>
      <c r="I6" s="393" t="s">
        <v>74</v>
      </c>
      <c r="O6" s="47"/>
      <c r="P6" s="86"/>
      <c r="Q6" s="407" t="s">
        <v>114</v>
      </c>
      <c r="R6" s="407"/>
    </row>
    <row r="7" spans="3:19" ht="12.75" customHeight="1">
      <c r="C7" s="109"/>
      <c r="D7" s="110">
        <v>2019</v>
      </c>
      <c r="E7" s="96">
        <v>2020</v>
      </c>
      <c r="F7" s="394"/>
      <c r="G7" s="238">
        <v>2019</v>
      </c>
      <c r="H7" s="96">
        <v>2020</v>
      </c>
      <c r="I7" s="394"/>
      <c r="N7" s="54"/>
      <c r="O7" s="321">
        <v>2019</v>
      </c>
      <c r="P7" s="323">
        <v>2020</v>
      </c>
      <c r="Q7" s="54">
        <v>2019</v>
      </c>
      <c r="R7" s="54">
        <v>2020</v>
      </c>
    </row>
    <row r="8" spans="3:19" ht="20.100000000000001" customHeight="1">
      <c r="C8" s="117" t="s">
        <v>17</v>
      </c>
      <c r="D8" s="220">
        <v>4.8693100000000005</v>
      </c>
      <c r="E8" s="284">
        <v>4.0579999999999998</v>
      </c>
      <c r="F8" s="222">
        <f>+E8/D8-1</f>
        <v>-0.16661703608930234</v>
      </c>
      <c r="G8" s="239">
        <v>27.512692000000001</v>
      </c>
      <c r="H8" s="284">
        <v>16.066381232672001</v>
      </c>
      <c r="I8" s="222">
        <f>+H8/G8-1</f>
        <v>-0.41603746980949741</v>
      </c>
      <c r="J8" s="26"/>
      <c r="K8" s="46"/>
      <c r="L8" s="46"/>
      <c r="N8" s="57" t="s">
        <v>10</v>
      </c>
      <c r="O8" s="71">
        <f>SUM(D8,D13,D20,D21,D27,D29,D31)</f>
        <v>348.60866900313448</v>
      </c>
      <c r="P8" s="71">
        <f t="shared" ref="P8" si="0">SUM(E8,E13,E20,E21,E27,E29,E31)</f>
        <v>313.20218623749997</v>
      </c>
      <c r="Q8" s="71">
        <f>SUM(G8,G13,G20,G21,G27,G29,G31)</f>
        <v>1565.6156919653279</v>
      </c>
      <c r="R8" s="71">
        <f>SUM(H8,H13,H20,H21,H27,H29,H31)</f>
        <v>1472.3263709209666</v>
      </c>
    </row>
    <row r="9" spans="3:19" ht="20.100000000000001" customHeight="1">
      <c r="C9" s="118" t="s">
        <v>18</v>
      </c>
      <c r="D9" s="221">
        <v>205.86506728750001</v>
      </c>
      <c r="E9" s="285">
        <v>211.8533097399997</v>
      </c>
      <c r="F9" s="223">
        <f t="shared" ref="F9:F32" si="1">+E9/D9-1</f>
        <v>2.9088191267228725E-2</v>
      </c>
      <c r="G9" s="240">
        <v>1232.2237461225</v>
      </c>
      <c r="H9" s="285">
        <v>1222.859750728403</v>
      </c>
      <c r="I9" s="300">
        <f t="shared" ref="I9:I32" si="2">+H9/G9-1</f>
        <v>-7.5992654934325943E-3</v>
      </c>
      <c r="J9" s="26"/>
      <c r="K9" s="46"/>
      <c r="L9" s="46"/>
      <c r="N9" s="57" t="s">
        <v>9</v>
      </c>
      <c r="O9" s="321">
        <f>SUM(D9,D14,D16,D17,D19,D22,D26,D32)</f>
        <v>3829.142486293827</v>
      </c>
      <c r="P9" s="321">
        <f>SUM(E9,E14,E16,E17,E19,E22,E26,E32)</f>
        <v>2762.8560488750018</v>
      </c>
      <c r="Q9" s="321">
        <f>SUM(G9,G14,G16,G17,G19,G22,G26,G32)</f>
        <v>18841.2618625992</v>
      </c>
      <c r="R9" s="321">
        <f>SUM(H9,H14,H16,H17,H19,H22,H26,H32)</f>
        <v>16335.864406260269</v>
      </c>
    </row>
    <row r="10" spans="3:19" ht="20.100000000000001" customHeight="1">
      <c r="C10" s="119" t="s">
        <v>19</v>
      </c>
      <c r="D10" s="221">
        <v>4.3728554146809131</v>
      </c>
      <c r="E10" s="285">
        <v>4.7969730000000004</v>
      </c>
      <c r="F10" s="223">
        <f t="shared" si="1"/>
        <v>9.6988705342327286E-2</v>
      </c>
      <c r="G10" s="240">
        <v>22.190476563453231</v>
      </c>
      <c r="H10" s="285">
        <v>23.987121744886782</v>
      </c>
      <c r="I10" s="223">
        <f t="shared" si="2"/>
        <v>8.0964695656538854E-2</v>
      </c>
      <c r="J10" s="26"/>
      <c r="K10" s="46"/>
      <c r="L10" s="46"/>
      <c r="N10" s="54" t="s">
        <v>12</v>
      </c>
      <c r="O10" s="321">
        <f>SUM(D10,D11,D12,D15,D18,D24,D25,D28,D30)</f>
        <v>590.04455311330037</v>
      </c>
      <c r="P10" s="321">
        <f t="shared" ref="P10" si="3">SUM(E10,E11,E12,E15,E18,E24,E25,E28,E30)</f>
        <v>519.49501177815023</v>
      </c>
      <c r="Q10" s="321">
        <f>SUM(G10,G11,G12,G15,G18,G24,G25,G28,G30)</f>
        <v>3056.9311113430122</v>
      </c>
      <c r="R10" s="321">
        <f>SUM(H10,H11,H12,H15,H18,H24,H25,H28,H30)</f>
        <v>2873.5421713322567</v>
      </c>
    </row>
    <row r="11" spans="3:19" ht="20.100000000000001" customHeight="1">
      <c r="C11" s="118" t="s">
        <v>20</v>
      </c>
      <c r="D11" s="221">
        <v>91.670834114976614</v>
      </c>
      <c r="E11" s="285">
        <v>94.432375860650211</v>
      </c>
      <c r="F11" s="300">
        <f t="shared" si="1"/>
        <v>3.0124540398639432E-2</v>
      </c>
      <c r="G11" s="240">
        <v>536.62811664363187</v>
      </c>
      <c r="H11" s="285">
        <v>594.49598102977768</v>
      </c>
      <c r="I11" s="223">
        <f t="shared" si="2"/>
        <v>0.10783606484893737</v>
      </c>
      <c r="J11" s="26"/>
      <c r="K11" s="46"/>
      <c r="L11" s="46"/>
      <c r="N11" s="322" t="s">
        <v>11</v>
      </c>
      <c r="O11" s="71">
        <f>D23</f>
        <v>84.674716733333327</v>
      </c>
      <c r="P11" s="71">
        <f t="shared" ref="P11" si="4">E23</f>
        <v>37.603000000000002</v>
      </c>
      <c r="Q11" s="71">
        <f>G23</f>
        <v>338.23610866666667</v>
      </c>
      <c r="R11" s="71">
        <f>H23</f>
        <v>278.00277380682132</v>
      </c>
    </row>
    <row r="12" spans="3:19" ht="20.100000000000001" customHeight="1">
      <c r="C12" s="118" t="s">
        <v>21</v>
      </c>
      <c r="D12" s="348">
        <v>0.66782067447617</v>
      </c>
      <c r="E12" s="316">
        <v>0.86560000000000004</v>
      </c>
      <c r="F12" s="223">
        <f t="shared" si="1"/>
        <v>0.29615633819507847</v>
      </c>
      <c r="G12" s="347">
        <v>3.6696250250932612</v>
      </c>
      <c r="H12" s="316">
        <v>4.6369673009258259</v>
      </c>
      <c r="I12" s="223">
        <f t="shared" si="2"/>
        <v>0.26360793520258397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21">
        <v>135.58708097049518</v>
      </c>
      <c r="E13" s="285">
        <v>113.14322756750003</v>
      </c>
      <c r="F13" s="223">
        <f t="shared" si="1"/>
        <v>-0.16553091372974615</v>
      </c>
      <c r="G13" s="240">
        <v>621.09699064349968</v>
      </c>
      <c r="H13" s="285">
        <v>594.74815888678404</v>
      </c>
      <c r="I13" s="223">
        <f t="shared" si="2"/>
        <v>-4.2423054939320193E-2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21">
        <v>291.38012159781078</v>
      </c>
      <c r="E14" s="285">
        <v>6.4163286975</v>
      </c>
      <c r="F14" s="223">
        <f t="shared" si="1"/>
        <v>-0.9779795249507226</v>
      </c>
      <c r="G14" s="240">
        <v>1189.9665927965543</v>
      </c>
      <c r="H14" s="285">
        <v>592.72764640124331</v>
      </c>
      <c r="I14" s="223">
        <f t="shared" si="2"/>
        <v>-0.50189555741370251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21">
        <v>196.25718509916666</v>
      </c>
      <c r="E15" s="285">
        <v>177.34713662499999</v>
      </c>
      <c r="F15" s="223">
        <f t="shared" si="1"/>
        <v>-9.6353407212131481E-2</v>
      </c>
      <c r="G15" s="240">
        <v>985.52083815333333</v>
      </c>
      <c r="H15" s="285">
        <v>818.38184953916652</v>
      </c>
      <c r="I15" s="300">
        <f t="shared" si="2"/>
        <v>-0.16959457592733551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21">
        <v>965.22642327763094</v>
      </c>
      <c r="E16" s="285">
        <v>922.42703312999959</v>
      </c>
      <c r="F16" s="223">
        <f t="shared" si="1"/>
        <v>-4.4341295591864283E-2</v>
      </c>
      <c r="G16" s="240">
        <v>4503.4321609075978</v>
      </c>
      <c r="H16" s="285">
        <v>4653.3867594109879</v>
      </c>
      <c r="I16" s="344">
        <f t="shared" si="2"/>
        <v>3.3297847762664867E-2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21">
        <v>225.34310401583332</v>
      </c>
      <c r="E17" s="285">
        <v>226.55245702000022</v>
      </c>
      <c r="F17" s="223">
        <f t="shared" si="1"/>
        <v>5.3667184955521474E-3</v>
      </c>
      <c r="G17" s="240">
        <v>1482.4025210441669</v>
      </c>
      <c r="H17" s="285">
        <v>1440.7835841708336</v>
      </c>
      <c r="I17" s="300">
        <f t="shared" si="2"/>
        <v>-2.8075327910275005E-2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21">
        <v>142.54012832666666</v>
      </c>
      <c r="E18" s="285">
        <v>80.130076065000011</v>
      </c>
      <c r="F18" s="223">
        <f t="shared" si="1"/>
        <v>-0.43784198172347844</v>
      </c>
      <c r="G18" s="240">
        <v>713.71530623833337</v>
      </c>
      <c r="H18" s="285">
        <v>554.07662234166673</v>
      </c>
      <c r="I18" s="223">
        <f t="shared" si="2"/>
        <v>-0.22367277610739367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21">
        <v>276.32145330666668</v>
      </c>
      <c r="E19" s="285">
        <v>255.46699839500025</v>
      </c>
      <c r="F19" s="223">
        <f t="shared" si="1"/>
        <v>-7.5471718399373722E-2</v>
      </c>
      <c r="G19" s="240">
        <v>1446.5329285458336</v>
      </c>
      <c r="H19" s="285">
        <v>1491.492558906667</v>
      </c>
      <c r="I19" s="300">
        <f t="shared" si="2"/>
        <v>3.1080958804049041E-2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21">
        <v>61.597304580133944</v>
      </c>
      <c r="E20" s="285">
        <v>91.778698052499976</v>
      </c>
      <c r="F20" s="300">
        <f t="shared" si="1"/>
        <v>0.48997912616617945</v>
      </c>
      <c r="G20" s="240">
        <v>311.76595265930177</v>
      </c>
      <c r="H20" s="285">
        <v>335.22398427581709</v>
      </c>
      <c r="I20" s="223">
        <f t="shared" si="2"/>
        <v>7.5242442019158862E-2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48">
        <v>5.1781346541666684</v>
      </c>
      <c r="E21" s="316">
        <v>4.6350389349999999</v>
      </c>
      <c r="F21" s="223">
        <f t="shared" si="1"/>
        <v>-0.10488250218245254</v>
      </c>
      <c r="G21" s="240">
        <v>26.066898995833341</v>
      </c>
      <c r="H21" s="285">
        <v>25.318006871666672</v>
      </c>
      <c r="I21" s="223">
        <f t="shared" si="2"/>
        <v>-2.8729620822422142E-2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21">
        <v>1740.9131264025518</v>
      </c>
      <c r="E22" s="285">
        <v>1048.9064054150019</v>
      </c>
      <c r="F22" s="223">
        <f t="shared" si="1"/>
        <v>-0.39749641179254169</v>
      </c>
      <c r="G22" s="240">
        <v>8405.3545341770096</v>
      </c>
      <c r="H22" s="285">
        <v>6418.1776820324085</v>
      </c>
      <c r="I22" s="223">
        <f t="shared" si="2"/>
        <v>-0.23641796952936867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221">
        <v>84.674716733333327</v>
      </c>
      <c r="E23" s="285">
        <v>37.603000000000002</v>
      </c>
      <c r="F23" s="223">
        <f t="shared" si="1"/>
        <v>-0.55591230238864109</v>
      </c>
      <c r="G23" s="240">
        <v>338.23610866666667</v>
      </c>
      <c r="H23" s="285">
        <v>278.00277380682132</v>
      </c>
      <c r="I23" s="223">
        <f t="shared" si="2"/>
        <v>-0.17808073507375166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48">
        <v>0.16525335999999999</v>
      </c>
      <c r="E24" s="316">
        <v>0.14077500250000002</v>
      </c>
      <c r="F24" s="223">
        <f t="shared" si="1"/>
        <v>-0.14812623174500028</v>
      </c>
      <c r="G24" s="347">
        <v>0.71945032999999992</v>
      </c>
      <c r="H24" s="316">
        <v>4.5445673174999994</v>
      </c>
      <c r="I24" s="300">
        <f t="shared" si="2"/>
        <v>5.3167214302341064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21">
        <v>49.288164355833331</v>
      </c>
      <c r="E25" s="285">
        <v>51.925639539999999</v>
      </c>
      <c r="F25" s="223">
        <f t="shared" si="1"/>
        <v>5.3511329111905148E-2</v>
      </c>
      <c r="G25" s="240">
        <v>265.38440087916661</v>
      </c>
      <c r="H25" s="285">
        <v>261.03589935083335</v>
      </c>
      <c r="I25" s="223">
        <f t="shared" si="2"/>
        <v>-1.6385671177083228E-2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21">
        <v>91.17484460999998</v>
      </c>
      <c r="E26" s="285">
        <v>89.923274777499969</v>
      </c>
      <c r="F26" s="223">
        <f t="shared" si="1"/>
        <v>-1.3727139737430782E-2</v>
      </c>
      <c r="G26" s="240">
        <v>488.14167185887504</v>
      </c>
      <c r="H26" s="285">
        <v>493.11234921639232</v>
      </c>
      <c r="I26" s="223">
        <f t="shared" si="2"/>
        <v>1.018285805960506E-2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21">
        <v>135.44137079833868</v>
      </c>
      <c r="E27" s="285">
        <v>93.713088882499989</v>
      </c>
      <c r="F27" s="223">
        <f t="shared" si="1"/>
        <v>-0.3080911073911734</v>
      </c>
      <c r="G27" s="240">
        <v>547.23315178669327</v>
      </c>
      <c r="H27" s="285">
        <v>470.36917085402655</v>
      </c>
      <c r="I27" s="223">
        <f t="shared" si="2"/>
        <v>-0.14045929176934735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21">
        <v>92.248557884999983</v>
      </c>
      <c r="E28" s="285">
        <v>96.368863272499979</v>
      </c>
      <c r="F28" s="223">
        <f t="shared" si="1"/>
        <v>4.4665255283844241E-2</v>
      </c>
      <c r="G28" s="240">
        <v>465.5874049300001</v>
      </c>
      <c r="H28" s="285">
        <v>547.87657228499995</v>
      </c>
      <c r="I28" s="223">
        <f t="shared" si="2"/>
        <v>0.17674268350831324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221">
        <v>4.8349200000000003</v>
      </c>
      <c r="E29" s="316">
        <v>4.75</v>
      </c>
      <c r="F29" s="223">
        <f t="shared" si="1"/>
        <v>-1.7563889371489116E-2</v>
      </c>
      <c r="G29" s="240">
        <v>26.372648000000002</v>
      </c>
      <c r="H29" s="285">
        <v>25.074344</v>
      </c>
      <c r="I29" s="300">
        <f t="shared" si="2"/>
        <v>-4.9229186238712197E-2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348">
        <v>12.8337538825</v>
      </c>
      <c r="E30" s="316">
        <v>13.4875724125</v>
      </c>
      <c r="F30" s="223">
        <f t="shared" si="1"/>
        <v>5.0945228963097167E-2</v>
      </c>
      <c r="G30" s="240">
        <v>63.515492580000021</v>
      </c>
      <c r="H30" s="285">
        <v>64.506590422499997</v>
      </c>
      <c r="I30" s="223">
        <f t="shared" si="2"/>
        <v>1.5604033004257278E-2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409">
        <v>1.1005480000000003</v>
      </c>
      <c r="E31" s="408">
        <v>1.1241328000000002</v>
      </c>
      <c r="F31" s="223">
        <f>+E31/D31-1</f>
        <v>2.1430051210851175E-2</v>
      </c>
      <c r="G31" s="240">
        <v>5.5673578800000012</v>
      </c>
      <c r="H31" s="285">
        <v>5.5263248000000011</v>
      </c>
      <c r="I31" s="223">
        <f t="shared" si="2"/>
        <v>-7.3702968058522167E-3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4">
        <v>32.918345795833339</v>
      </c>
      <c r="E32" s="286">
        <v>1.3102417</v>
      </c>
      <c r="F32" s="224">
        <f t="shared" si="1"/>
        <v>-0.96019721926106494</v>
      </c>
      <c r="G32" s="241">
        <v>93.207707146666678</v>
      </c>
      <c r="H32" s="286">
        <v>23.324075393333338</v>
      </c>
      <c r="I32" s="224">
        <f t="shared" si="2"/>
        <v>-0.74976237365616327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31" t="s">
        <v>106</v>
      </c>
      <c r="D33" s="111">
        <f>SUM(D8:D32)</f>
        <v>4852.4704251435942</v>
      </c>
      <c r="E33" s="287">
        <f>SUM(E8:E32)</f>
        <v>3633.1562468906513</v>
      </c>
      <c r="F33" s="116">
        <f>+E33/D33-1</f>
        <v>-0.25127699324759123</v>
      </c>
      <c r="G33" s="242">
        <f>SUM(G8:G32)</f>
        <v>23802.044774574213</v>
      </c>
      <c r="H33" s="287">
        <f>SUM(H8:H32)</f>
        <v>20959.735722320325</v>
      </c>
      <c r="I33" s="243">
        <f>+H33/G33-1</f>
        <v>-0.11941449061091147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127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49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1048.9064054150019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922.42703312999959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27</v>
      </c>
      <c r="O46" s="53">
        <v>255.46699839500025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25</v>
      </c>
      <c r="O47" s="52">
        <v>226.55245702000022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211.8533097399997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23</v>
      </c>
      <c r="O49" s="53">
        <v>177.34713662499999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22</v>
      </c>
      <c r="O50" s="52">
        <v>113.14322756750003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36</v>
      </c>
      <c r="O51" s="53">
        <v>96.368863272499979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20</v>
      </c>
      <c r="O52" s="53">
        <v>94.432375860650211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35</v>
      </c>
      <c r="O53" s="53">
        <v>93.713088882499989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28</v>
      </c>
      <c r="O54" s="53">
        <v>91.778698052499976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34</v>
      </c>
      <c r="O55" s="52">
        <v>89.923274777499969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26</v>
      </c>
      <c r="O56" s="53">
        <v>80.130076065000011</v>
      </c>
      <c r="P56" s="8"/>
      <c r="S56" s="91"/>
    </row>
    <row r="57" spans="3:19">
      <c r="N57" s="51" t="s">
        <v>33</v>
      </c>
      <c r="O57" s="52">
        <v>51.925639539999999</v>
      </c>
      <c r="S57" s="91"/>
    </row>
    <row r="58" spans="3:19">
      <c r="N58" s="51" t="s">
        <v>31</v>
      </c>
      <c r="O58" s="52">
        <v>37.603000000000002</v>
      </c>
      <c r="S58" s="91"/>
    </row>
    <row r="59" spans="3:19">
      <c r="N59" s="51" t="s">
        <v>38</v>
      </c>
      <c r="O59" s="52">
        <v>13.4875724125</v>
      </c>
      <c r="S59" s="91"/>
    </row>
    <row r="60" spans="3:19">
      <c r="N60" s="51" t="s">
        <v>59</v>
      </c>
      <c r="O60" s="52">
        <v>6.4163286975</v>
      </c>
      <c r="S60" s="91"/>
    </row>
    <row r="61" spans="3:19">
      <c r="N61" s="51" t="s">
        <v>19</v>
      </c>
      <c r="O61" s="52">
        <v>4.7969730000000004</v>
      </c>
      <c r="S61" s="91"/>
    </row>
    <row r="62" spans="3:19">
      <c r="N62" s="51" t="s">
        <v>37</v>
      </c>
      <c r="O62" s="52">
        <v>4.75</v>
      </c>
      <c r="S62" s="91"/>
    </row>
    <row r="63" spans="3:19">
      <c r="N63" s="50" t="s">
        <v>29</v>
      </c>
      <c r="O63" s="53">
        <v>4.6350389349999999</v>
      </c>
      <c r="S63" s="91"/>
    </row>
    <row r="64" spans="3:19">
      <c r="N64" s="50" t="s">
        <v>17</v>
      </c>
      <c r="O64" s="53">
        <v>4.0579999999999998</v>
      </c>
      <c r="S64" s="91"/>
    </row>
    <row r="65" spans="6:19">
      <c r="N65" s="50" t="s">
        <v>40</v>
      </c>
      <c r="O65" s="53">
        <v>1.3102417</v>
      </c>
      <c r="S65" s="91"/>
    </row>
    <row r="66" spans="6:19">
      <c r="N66" s="50" t="s">
        <v>39</v>
      </c>
      <c r="O66" s="53">
        <v>1.1241328000000002</v>
      </c>
      <c r="S66" s="91"/>
    </row>
    <row r="67" spans="6:19">
      <c r="N67" s="51" t="s">
        <v>21</v>
      </c>
      <c r="O67" s="52">
        <v>0.86560000000000004</v>
      </c>
      <c r="S67" s="91"/>
    </row>
    <row r="68" spans="6:19">
      <c r="N68" s="9" t="s">
        <v>32</v>
      </c>
      <c r="O68" s="52">
        <v>0.14077500250000002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Dora</cp:lastModifiedBy>
  <cp:lastPrinted>2019-06-07T20:06:27Z</cp:lastPrinted>
  <dcterms:created xsi:type="dcterms:W3CDTF">2018-08-23T14:00:28Z</dcterms:created>
  <dcterms:modified xsi:type="dcterms:W3CDTF">2020-06-18T08:24:56Z</dcterms:modified>
</cp:coreProperties>
</file>